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showInkAnnotation="0" codeName="ThisWorkbook" autoCompressPictures="0"/>
  <mc:AlternateContent xmlns:mc="http://schemas.openxmlformats.org/markup-compatibility/2006">
    <mc:Choice Requires="x15">
      <x15ac:absPath xmlns:x15ac="http://schemas.microsoft.com/office/spreadsheetml/2010/11/ac" url="C:\Users\FH\Documents\"/>
    </mc:Choice>
  </mc:AlternateContent>
  <xr:revisionPtr revIDLastSave="0" documentId="13_ncr:1_{1B36488C-7E1A-4DA0-BD8D-12A9BF0DBA2A}" xr6:coauthVersionLast="45" xr6:coauthVersionMax="45" xr10:uidLastSave="{00000000-0000-0000-0000-000000000000}"/>
  <workbookProtection workbookPassword="E31B" lockStructure="1"/>
  <bookViews>
    <workbookView xWindow="-28920" yWindow="-120" windowWidth="2904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s="1"/>
  <c r="B54" i="6"/>
  <c r="G54" i="6" s="1"/>
  <c r="B53" i="6"/>
  <c r="G53" i="6"/>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3" i="6" l="1"/>
  <c r="C11" i="6"/>
  <c r="C4" i="6"/>
  <c r="C9" i="6"/>
  <c r="C10" i="6"/>
  <c r="C8" i="6"/>
  <c r="C7" i="6"/>
  <c r="C5" i="6"/>
  <c r="B43" i="6"/>
  <c r="G23" i="6"/>
  <c r="H23" i="6" s="1"/>
  <c r="D23" i="6" s="1"/>
  <c r="B33" i="6"/>
  <c r="B28" i="6"/>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F50" i="6" s="1"/>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7" i="6" l="1"/>
  <c r="F41" i="6"/>
  <c r="H41" i="6" s="1"/>
  <c r="H25" i="6"/>
  <c r="C25" i="6" s="1"/>
  <c r="H36" i="6"/>
  <c r="C36"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C63" i="6" s="1"/>
  <c r="D26" i="6"/>
  <c r="H32" i="6"/>
  <c r="C32" i="6" s="1"/>
  <c r="C22"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41" i="6" l="1"/>
  <c r="C41"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<sst xmlns="http://schemas.openxmlformats.org/spreadsheetml/2006/main" count="21615" uniqueCount="15505">
  <si>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</si>
  <si>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</si>
  <si>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</si>
  <si>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</si>
  <si>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</si>
  <si>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</si>
  <si>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</si>
  <si>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</si>
  <si>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</si>
  <si>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</si>
  <si>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</si>
  <si>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</si>
  <si>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</si>
  <si>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</si>
  <si>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</si>
  <si>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</si>
  <si>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</si>
  <si>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</si>
  <si>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</si>
  <si>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</si>
  <si>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</si>
  <si>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</si>
  <si>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</si>
  <si>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</si>
  <si>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</si>
  <si>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</si>
  <si>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</si>
  <si>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</si>
  <si>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</si>
  <si>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</si>
  <si>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</si>
  <si>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</si>
  <si>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</si>
  <si>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</si>
  <si>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</si>
  <si>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</si>
  <si>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</si>
  <si>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</si>
  <si>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</si>
  <si>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</si>
  <si>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</si>
  <si>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</si>
  <si>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</si>
  <si>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</si>
  <si>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</si>
  <si>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</si>
  <si>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</si>
  <si>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</si>
  <si>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</si>
  <si>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</si>
  <si>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</si>
  <si>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</si>
  <si>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</si>
  <si>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</si>
  <si>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</si>
  <si>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</si>
  <si>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</si>
  <si>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</si>
  <si>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</si>
  <si>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</si>
  <si>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</si>
  <si>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</si>
  <si>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</si>
  <si>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</si>
  <si>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</si>
  <si>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</si>
  <si>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</si>
  <si>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</si>
  <si>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</si>
  <si>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</si>
  <si>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</si>
  <si>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</si>
  <si>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</si>
  <si>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</si>
  <si>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</si>
  <si>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</si>
  <si>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</si>
  <si>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</si>
  <si>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</si>
  <si>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</si>
  <si>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</si>
  <si>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</si>
  <si>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</si>
  <si>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</si>
  <si>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</si>
  <si>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</si>
  <si>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</si>
  <si>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</si>
  <si>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</si>
  <si>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</si>
  <si>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</si>
  <si>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</si>
  <si>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</si>
  <si>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</si>
  <si>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</si>
  <si>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</si>
  <si>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</si>
  <si>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</si>
  <si>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</si>
  <si>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</si>
  <si>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</si>
  <si>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</si>
  <si>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</si>
  <si>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</si>
  <si>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</si>
  <si>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</si>
  <si>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</si>
  <si>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</si>
  <si>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</si>
  <si>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</si>
  <si>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</si>
  <si>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</si>
  <si>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</si>
  <si>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</si>
  <si>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</si>
  <si>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</si>
  <si>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</si>
  <si>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</si>
  <si>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</si>
  <si>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</si>
  <si>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</si>
  <si>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</si>
  <si>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</si>
  <si>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</si>
  <si>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</si>
  <si>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</si>
  <si>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</si>
  <si>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</si>
  <si>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</si>
  <si>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</si>
  <si>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</si>
  <si>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</si>
  <si>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</si>
  <si>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</si>
  <si>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</si>
  <si>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</si>
  <si>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</si>
  <si>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</si>
  <si>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</si>
  <si>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</si>
  <si>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</si>
  <si>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</si>
  <si>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</si>
  <si>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</si>
  <si>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</si>
  <si>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</si>
  <si>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</si>
  <si>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</si>
  <si>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</si>
  <si>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</si>
  <si>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</si>
  <si>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</si>
  <si>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</si>
  <si>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</si>
  <si>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</si>
  <si>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</si>
  <si>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</si>
  <si>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</si>
  <si>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</si>
  <si>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</si>
  <si>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</si>
  <si>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</si>
  <si>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</si>
  <si>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</si>
  <si>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</si>
  <si>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</si>
  <si>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</si>
  <si>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</si>
  <si>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</si>
  <si>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</si>
  <si>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</si>
  <si>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</si>
  <si>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</si>
  <si>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</si>
  <si>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</si>
  <si>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</si>
  <si>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</si>
  <si>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</si>
  <si>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</si>
  <si>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</si>
  <si>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</si>
  <si>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</si>
  <si>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</si>
  <si>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</si>
  <si>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</si>
  <si>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</si>
  <si>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</si>
  <si>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</si>
  <si>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</si>
  <si>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</si>
  <si>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</si>
  <si>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</si>
  <si>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</si>
  <si>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</si>
  <si>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</si>
  <si>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</si>
  <si>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</si>
  <si>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</si>
  <si>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</si>
  <si>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</si>
  <si>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</si>
  <si>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</si>
  <si>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</si>
  <si>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</si>
  <si>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</si>
  <si>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</si>
  <si>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</si>
  <si>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</si>
  <si>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</si>
  <si>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</si>
  <si>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</si>
  <si>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</si>
  <si>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</si>
  <si>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</si>
  <si>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</si>
  <si>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</si>
  <si>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</si>
  <si>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</si>
  <si>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</si>
  <si>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</si>
  <si>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</si>
  <si>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</si>
  <si>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</si>
  <si>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</si>
  <si>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</si>
  <si>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</si>
  <si>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</si>
  <si>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</si>
  <si>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</si>
  <si>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</si>
  <si>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</si>
  <si>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</si>
  <si>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</si>
  <si>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</si>
  <si>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</si>
  <si>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</si>
  <si>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</si>
  <si>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</si>
  <si>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</si>
  <si>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</si>
  <si>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</si>
  <si>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</si>
  <si>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</si>
  <si>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</si>
  <si>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</si>
  <si>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</si>
  <si>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</si>
  <si>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</si>
  <si>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</si>
  <si>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</si>
  <si>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</si>
  <si>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</si>
  <si>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</si>
  <si>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</si>
  <si>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</si>
  <si>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</si>
  <si>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</si>
  <si>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</si>
  <si>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</si>
  <si>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</si>
  <si>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</si>
  <si>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</si>
  <si>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</si>
  <si>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</si>
  <si>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</si>
  <si>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</si>
  <si>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</si>
  <si>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</si>
  <si>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</si>
  <si>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</si>
  <si>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</si>
  <si>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</si>
  <si>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</si>
  <si>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</si>
  <si>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</si>
  <si>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</si>
  <si>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</si>
  <si>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</si>
  <si>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</si>
  <si>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</si>
  <si>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</si>
  <si>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</si>
  <si>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</si>
  <si>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</si>
  <si>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</si>
  <si>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</si>
  <si>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</si>
  <si>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</si>
  <si>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</si>
  <si>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</si>
  <si>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</si>
  <si>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</si>
  <si>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</si>
  <si>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</si>
  <si>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</si>
  <si>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</si>
  <si>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</si>
  <si>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</si>
  <si>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</si>
  <si>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</si>
  <si>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</si>
  <si>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</si>
  <si>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</si>
  <si>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</si>
  <si>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</si>
  <si>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</si>
  <si>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</si>
  <si>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</si>
  <si>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</si>
  <si>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</si>
  <si>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</si>
  <si>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</si>
  <si>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</si>
  <si>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</si>
  <si>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</si>
  <si>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</si>
  <si>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</si>
  <si>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</si>
  <si>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</si>
  <si>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</si>
  <si>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</si>
  <si>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</si>
  <si>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</si>
  <si>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</si>
  <si>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</si>
  <si>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</si>
  <si>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</si>
  <si>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</si>
  <si>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</si>
  <si>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</si>
  <si>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</si>
  <si>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</si>
  <si>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</si>
  <si>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</si>
  <si>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</si>
  <si>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</si>
  <si>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</si>
  <si>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</si>
  <si>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</si>
  <si>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</si>
  <si>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</si>
  <si>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</si>
  <si>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</si>
  <si>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</si>
  <si>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</si>
  <si>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</si>
  <si>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</si>
  <si>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</si>
  <si>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</si>
  <si>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</si>
  <si>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</si>
  <si>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</si>
  <si>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</si>
  <si>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</si>
  <si>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</si>
  <si>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</si>
  <si>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</si>
  <si>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</si>
  <si>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</si>
  <si>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</si>
  <si>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</si>
  <si>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</si>
  <si>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</si>
  <si>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</si>
  <si>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</si>
  <si>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</si>
  <si>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</si>
  <si>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</si>
  <si>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</si>
  <si>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</si>
  <si>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</si>
  <si>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</si>
  <si>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</si>
  <si>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</si>
  <si>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</si>
  <si>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</si>
  <si>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</si>
  <si>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</si>
  <si>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</si>
  <si>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</si>
  <si>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</si>
  <si>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</si>
  <si>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</si>
  <si>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</si>
  <si>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</si>
  <si>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</si>
  <si>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</si>
  <si>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</si>
  <si>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</si>
  <si>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</si>
  <si>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</si>
  <si>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</si>
  <si>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</si>
  <si>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</si>
  <si>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</si>
  <si>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</si>
  <si>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</si>
  <si>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</si>
  <si>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</si>
  <si>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</si>
  <si>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</si>
  <si>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</si>
  <si>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</si>
  <si>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</si>
  <si>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</si>
  <si>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</si>
  <si>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</si>
  <si>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</si>
  <si>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</si>
  <si>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</si>
  <si>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</si>
  <si>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</si>
  <si>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</si>
  <si>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</si>
  <si>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</si>
  <si>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</si>
  <si>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</si>
  <si>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</si>
  <si>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</si>
  <si>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</si>
  <si>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</si>
  <si>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</si>
  <si>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</si>
  <si>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</si>
  <si>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</si>
  <si>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</si>
  <si>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</si>
  <si>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</si>
  <si>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</si>
  <si>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</si>
  <si>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</si>
  <si>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</si>
  <si>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</si>
  <si>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</si>
  <si>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</si>
  <si>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</si>
  <si>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</si>
  <si>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</si>
  <si>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</si>
  <si>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</si>
  <si>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</si>
  <si>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</si>
  <si>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</si>
  <si>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</si>
  <si>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</si>
  <si>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</si>
  <si>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</si>
  <si>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</si>
  <si>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</si>
  <si>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</si>
  <si>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</si>
  <si>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</si>
  <si>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</si>
  <si>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</si>
  <si>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</si>
  <si>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</si>
  <si>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</si>
  <si>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</si>
  <si>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</si>
  <si>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</si>
  <si>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</si>
  <si>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</si>
  <si>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</si>
  <si>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</si>
  <si>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</si>
  <si>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</si>
  <si>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</si>
  <si>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</si>
  <si>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</si>
  <si>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</si>
  <si>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</si>
  <si>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</si>
  <si>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</si>
  <si>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</si>
  <si>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</si>
  <si>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</si>
  <si>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</si>
  <si>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</si>
  <si>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</si>
  <si>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</si>
  <si>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</si>
  <si>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</si>
  <si>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</si>
  <si>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</si>
  <si>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</si>
  <si>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</si>
  <si>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</si>
  <si>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</si>
  <si>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</si>
  <si>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</si>
  <si>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</si>
  <si>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</si>
  <si>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</si>
  <si>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</si>
  <si>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</si>
  <si>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</si>
  <si>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</si>
  <si>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</si>
  <si>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</si>
  <si>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</si>
  <si>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</si>
  <si>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</si>
  <si>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</si>
  <si>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</si>
  <si>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</si>
  <si>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</si>
  <si>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</si>
  <si>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</si>
  <si>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</si>
  <si>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</si>
  <si>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</si>
  <si>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</si>
  <si>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</si>
  <si>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</si>
  <si>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</si>
  <si>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</si>
  <si>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</si>
  <si>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</si>
  <si>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</si>
  <si>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</si>
  <si>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</si>
  <si>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</si>
  <si>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</si>
  <si>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</si>
  <si>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</si>
  <si>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</si>
  <si>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</si>
  <si>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</si>
  <si>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</si>
  <si>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</si>
  <si>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</si>
  <si>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</si>
  <si>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</si>
  <si>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</si>
  <si>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</si>
  <si>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</si>
  <si>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</si>
  <si>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</si>
  <si>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</si>
  <si>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</si>
  <si>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</si>
  <si>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</si>
  <si>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</si>
  <si>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</si>
  <si>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</si>
  <si>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</si>
  <si>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</si>
  <si>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</si>
  <si>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</si>
  <si>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</si>
  <si>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</si>
  <si>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</si>
  <si>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</si>
  <si>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</si>
  <si>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</si>
  <si>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</si>
  <si>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</si>
  <si>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</si>
  <si>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</si>
  <si>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</si>
  <si>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</si>
  <si>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</si>
  <si>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</si>
  <si>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</si>
  <si>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</si>
  <si>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</si>
  <si>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</si>
  <si>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</si>
  <si>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</si>
  <si>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</si>
  <si>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</si>
  <si>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</si>
  <si>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</si>
  <si>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</si>
  <si>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</si>
  <si>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</si>
  <si>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</si>
  <si>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</si>
  <si>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</si>
  <si>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</si>
  <si>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</si>
  <si>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</si>
  <si>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</si>
  <si>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</si>
  <si>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</si>
  <si>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</si>
  <si>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</si>
  <si>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</si>
  <si>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</si>
  <si>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</si>
  <si>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</si>
  <si>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</si>
  <si>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</si>
  <si>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</si>
  <si>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</si>
  <si>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</si>
  <si>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</si>
  <si>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</si>
  <si>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</si>
  <si>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</si>
  <si>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</si>
  <si>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</si>
  <si>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</si>
  <si>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</si>
  <si>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</si>
  <si>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</si>
  <si>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</si>
  <si>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</si>
  <si>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</si>
  <si>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</si>
  <si>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</si>
  <si>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</si>
  <si>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</si>
  <si>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</si>
  <si>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</si>
  <si>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</si>
  <si>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</si>
  <si>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</si>
  <si>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</si>
  <si>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</si>
  <si>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</si>
  <si>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</si>
  <si>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</si>
  <si>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</si>
  <si>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</si>
  <si>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</si>
  <si>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</si>
  <si>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</si>
  <si>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</si>
  <si>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</si>
  <si>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</si>
  <si>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</si>
  <si>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</si>
  <si>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</si>
  <si>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</si>
  <si>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</si>
  <si>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</si>
  <si>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</si>
  <si>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</si>
  <si>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</si>
  <si>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</si>
  <si>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</si>
  <si>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</si>
  <si>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</si>
  <si>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</si>
  <si>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</si>
  <si>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</si>
  <si>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</si>
  <si>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</si>
  <si>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</si>
  <si>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</si>
  <si>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</si>
  <si>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</si>
  <si>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</si>
  <si>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</si>
  <si>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</si>
  <si>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</si>
  <si>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</si>
  <si>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</si>
  <si>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</si>
  <si>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</si>
  <si>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</si>
  <si>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</si>
  <si>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</si>
  <si>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</si>
  <si>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</si>
  <si>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</si>
  <si>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</si>
  <si>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</si>
  <si>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</si>
  <si>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</si>
  <si>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</si>
  <si>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</si>
  <si>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</si>
  <si>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</si>
  <si>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</si>
  <si>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</si>
  <si>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</si>
  <si>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</si>
  <si>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</si>
  <si>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</si>
  <si>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</si>
  <si>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</si>
  <si>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</si>
  <si>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</si>
  <si>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</si>
  <si>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</si>
  <si>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</si>
  <si>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</si>
  <si>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</si>
  <si>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</si>
  <si>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</si>
  <si>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</si>
  <si>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</si>
  <si>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</si>
  <si>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</si>
  <si>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</si>
  <si>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</si>
  <si>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</si>
  <si>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</si>
  <si>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</si>
  <si>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</si>
  <si>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</si>
  <si>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</si>
  <si>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</si>
  <si>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</si>
  <si>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</si>
  <si>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</si>
  <si>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</si>
  <si>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</si>
  <si>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</si>
  <si>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</si>
  <si>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</si>
  <si>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</si>
  <si>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</si>
  <si>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</si>
  <si>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</si>
  <si>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</si>
  <si>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</si>
  <si>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</si>
  <si>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</si>
  <si>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</si>
  <si>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</si>
  <si>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</si>
  <si>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</si>
  <si>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</si>
  <si>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</si>
  <si>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</si>
  <si>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</si>
  <si>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</si>
  <si>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</si>
  <si>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</si>
  <si>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</si>
  <si>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</si>
  <si>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</si>
  <si>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</si>
  <si>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</si>
  <si>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</si>
  <si>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</si>
  <si>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</si>
  <si>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</si>
  <si>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</si>
  <si>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</si>
  <si>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</si>
  <si>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</si>
  <si>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</si>
  <si>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</si>
  <si>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</si>
  <si>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</si>
  <si>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</si>
  <si>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</si>
  <si>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</si>
  <si>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</si>
  <si>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</si>
  <si>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</si>
  <si>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</si>
  <si>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</si>
  <si>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</si>
  <si>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</si>
  <si>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</si>
  <si>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</si>
  <si>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</si>
  <si>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</si>
  <si>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</si>
  <si>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</si>
  <si>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</si>
  <si>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</si>
  <si>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</si>
  <si>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</si>
  <si>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</si>
  <si>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</si>
  <si>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</si>
  <si>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</si>
  <si>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</si>
  <si>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</si>
  <si>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</si>
  <si>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</si>
  <si>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</si>
  <si>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</si>
  <si>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</si>
  <si>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</si>
  <si>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</si>
  <si>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</si>
  <si>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</si>
  <si>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</si>
  <si>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</si>
  <si>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</si>
  <si>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</si>
  <si>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</si>
  <si>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</si>
  <si>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</si>
  <si>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</si>
  <si>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</si>
  <si>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</si>
  <si>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</si>
  <si>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</si>
  <si>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</si>
  <si>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</si>
  <si>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</si>
  <si>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</si>
  <si>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</si>
  <si>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</si>
  <si>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</si>
  <si>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</si>
  <si>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</si>
  <si>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</si>
  <si>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</si>
  <si>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</si>
  <si>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</si>
  <si>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</si>
  <si>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</si>
  <si>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</si>
  <si>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</si>
  <si>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</si>
  <si>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</si>
  <si>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</si>
  <si>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</si>
  <si>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</si>
  <si>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</si>
  <si>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</si>
  <si>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</si>
  <si>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</si>
  <si>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</si>
  <si>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</si>
  <si>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</si>
  <si>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</si>
  <si>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</si>
  <si>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</si>
  <si>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</si>
  <si>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</si>
  <si>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</si>
  <si>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</si>
  <si>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</si>
  <si>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</si>
  <si>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</si>
  <si>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</si>
  <si>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</si>
  <si>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</si>
  <si>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</si>
  <si>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</si>
  <si>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</si>
  <si>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</si>
  <si>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</si>
  <si>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</si>
  <si>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</si>
  <si>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</si>
  <si>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</si>
  <si>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</si>
  <si>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</si>
  <si>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</si>
  <si>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</si>
  <si>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</si>
  <si>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</si>
  <si>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</si>
  <si>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</si>
  <si>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</si>
  <si>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</si>
  <si>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</si>
  <si>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</si>
  <si>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</si>
  <si>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</si>
  <si>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</si>
  <si>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</si>
  <si>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</si>
  <si>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</si>
  <si>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</si>
  <si>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</si>
  <si>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</si>
  <si>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</si>
  <si>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</si>
  <si>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</si>
  <si>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</si>
  <si>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</si>
  <si>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</si>
  <si>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</si>
  <si>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</si>
  <si>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</si>
  <si>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</si>
  <si>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</si>
  <si>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</si>
  <si>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</si>
  <si>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</si>
  <si>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</si>
  <si>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</si>
  <si>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</si>
  <si>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</si>
  <si>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</si>
  <si>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</si>
  <si>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</si>
  <si>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</si>
  <si>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</si>
  <si>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</si>
  <si>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</si>
  <si>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</si>
  <si>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</si>
  <si>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</si>
  <si>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</si>
  <si>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</si>
  <si>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</si>
  <si>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</si>
  <si>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</si>
  <si>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</si>
  <si>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</si>
  <si>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</si>
  <si>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</si>
  <si>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</si>
  <si>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</si>
  <si>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</si>
  <si>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</si>
  <si>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</si>
  <si>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</si>
  <si>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</si>
  <si>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</si>
  <si>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</si>
  <si>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</si>
  <si>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</si>
  <si>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</si>
  <si>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</si>
  <si>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</si>
  <si>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</si>
  <si>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</si>
  <si>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</si>
  <si>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</si>
  <si>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</si>
  <si>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</si>
  <si>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</si>
  <si>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</si>
  <si>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</si>
  <si>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</si>
  <si>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</si>
  <si>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</si>
  <si>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</si>
  <si>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</si>
  <si>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</si>
  <si>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</si>
  <si>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</si>
  <si>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</si>
  <si>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</si>
  <si>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</si>
  <si>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</si>
  <si>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</si>
  <si>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</si>
  <si>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</si>
  <si>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</si>
  <si>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</si>
  <si>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</si>
  <si>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</si>
  <si>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</si>
  <si>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</si>
  <si>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</si>
  <si>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</si>
  <si>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</si>
  <si>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</si>
  <si>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</si>
  <si>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</si>
  <si>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</si>
  <si>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</si>
  <si>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</si>
  <si>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</si>
  <si>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</si>
  <si>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</si>
  <si>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</si>
  <si>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</si>
  <si>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</si>
  <si>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</si>
  <si>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</si>
  <si>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</si>
  <si>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</si>
  <si>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</si>
  <si>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</si>
  <si>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</si>
  <si>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</si>
  <si>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</si>
  <si>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</si>
  <si>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</si>
  <si>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</si>
  <si>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</si>
  <si>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</si>
  <si>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</si>
  <si>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</si>
  <si>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</si>
  <si>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</si>
  <si>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</si>
  <si>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</si>
  <si>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</si>
  <si>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</si>
  <si>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</si>
  <si>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</si>
  <si>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</si>
  <si>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</si>
  <si>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</si>
  <si>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</si>
  <si>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</si>
  <si>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</si>
  <si>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</si>
  <si>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</si>
  <si>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</si>
  <si>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</si>
  <si>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</si>
  <si>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</si>
  <si>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</si>
  <si>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</si>
  <si>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</si>
  <si>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</si>
  <si>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</si>
  <si>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</si>
  <si>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</si>
  <si>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</si>
  <si>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</si>
  <si>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</si>
  <si>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</si>
  <si>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</si>
  <si>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</si>
  <si>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</si>
  <si>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</si>
  <si>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</si>
  <si>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</si>
  <si>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</si>
  <si>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</si>
  <si>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</si>
  <si>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</si>
  <si>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</si>
  <si>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</si>
  <si>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</si>
  <si>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</si>
  <si>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</si>
  <si>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</si>
  <si>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</si>
  <si>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</si>
  <si>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</si>
  <si>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</si>
  <si>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</si>
  <si>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</si>
  <si>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</si>
  <si>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</si>
  <si>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</si>
  <si>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</si>
  <si>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</si>
  <si>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</si>
  <si>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</si>
  <si>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</si>
  <si>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</si>
  <si>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</si>
  <si>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</si>
  <si>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</si>
  <si>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</si>
  <si>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</si>
  <si>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</si>
  <si>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</si>
  <si>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</si>
  <si>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</si>
  <si>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</si>
  <si>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</si>
  <si>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</si>
  <si>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</si>
  <si>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</si>
  <si>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</si>
  <si>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</si>
  <si>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</si>
  <si>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</si>
  <si>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</si>
  <si>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</si>
  <si>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</si>
  <si>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</si>
  <si>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</si>
  <si>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</si>
  <si>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</si>
  <si>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</si>
  <si>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</si>
  <si>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</si>
  <si>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</si>
  <si>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</si>
  <si>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</si>
  <si>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</si>
  <si>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</si>
  <si>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</si>
  <si>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</si>
  <si>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</si>
  <si>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</si>
  <si>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</si>
  <si>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</si>
  <si>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</si>
  <si>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</si>
  <si>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</si>
  <si>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</si>
  <si>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</si>
  <si>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</si>
  <si>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</si>
  <si>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</si>
  <si>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</si>
  <si>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</si>
  <si>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</si>
  <si>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</si>
  <si>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</si>
  <si>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</si>
  <si>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</si>
  <si>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</si>
  <si>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</si>
  <si>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</si>
  <si>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</si>
  <si>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</si>
  <si>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</si>
  <si>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</si>
  <si>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</si>
  <si>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</si>
  <si>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</si>
  <si>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</si>
  <si>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</si>
  <si>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</si>
  <si>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</si>
  <si>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</si>
  <si>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</si>
  <si>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</si>
  <si>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</si>
  <si>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</si>
  <si>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</si>
  <si>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</si>
  <si>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</si>
  <si>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</si>
  <si>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</si>
  <si>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</si>
  <si>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</si>
  <si>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</si>
  <si>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</si>
  <si>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</si>
  <si>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</si>
  <si>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</si>
  <si>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</si>
  <si>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</si>
  <si>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</si>
  <si>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</si>
  <si>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</si>
  <si>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</si>
  <si>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</si>
  <si>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</si>
  <si>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</si>
  <si>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</si>
  <si>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</si>
  <si>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</si>
  <si>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</si>
  <si>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</si>
  <si>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</si>
  <si>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</si>
  <si>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</si>
  <si>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</si>
  <si>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</si>
  <si>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</si>
  <si>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</si>
  <si>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</si>
  <si>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</si>
  <si>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</si>
  <si>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</si>
  <si>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</si>
  <si>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</si>
  <si>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</si>
  <si>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</si>
  <si>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</si>
  <si>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</si>
  <si>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</si>
  <si>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</si>
  <si>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</si>
  <si>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</si>
  <si>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</si>
  <si>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</si>
  <si>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</si>
  <si>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</si>
  <si>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</si>
  <si>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</si>
  <si>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</si>
  <si>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</si>
  <si>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</si>
  <si>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</si>
  <si>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</si>
  <si>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</si>
  <si>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</si>
  <si>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</si>
  <si>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</si>
  <si>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</si>
  <si>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</si>
  <si>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</si>
  <si>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</si>
  <si>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</si>
  <si>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</si>
  <si>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</si>
  <si>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</si>
  <si>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</si>
  <si>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</si>
  <si>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</si>
  <si>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</si>
  <si>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</si>
  <si>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</si>
  <si>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</si>
  <si>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</si>
  <si>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</si>
  <si>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</si>
  <si>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</si>
  <si>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</si>
  <si>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</si>
  <si>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</si>
  <si>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</si>
  <si>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</si>
  <si>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</si>
  <si>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</si>
  <si>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</si>
  <si>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</si>
  <si>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</si>
  <si>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</si>
  <si>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</si>
  <si>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</si>
  <si>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</si>
  <si>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</si>
  <si>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</si>
  <si>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</si>
  <si>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</si>
  <si>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</si>
  <si>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</si>
  <si>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</si>
  <si>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</si>
  <si>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</si>
  <si>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</si>
  <si>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</si>
  <si>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</si>
  <si>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</si>
  <si>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</si>
  <si>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</si>
  <si>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</si>
  <si>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</si>
  <si>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</si>
  <si>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</si>
  <si>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</si>
  <si>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</si>
  <si>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</si>
  <si>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</si>
  <si>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</si>
  <si>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</si>
  <si>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</si>
  <si>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</si>
  <si>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</si>
  <si>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</si>
  <si>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</si>
  <si>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</si>
  <si>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</si>
  <si>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</si>
  <si>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</si>
  <si>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</si>
  <si>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</si>
  <si>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</si>
  <si>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</si>
  <si>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</si>
  <si>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</si>
  <si>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</si>
  <si>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</si>
  <si>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</si>
  <si>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</si>
  <si>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</si>
  <si>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</si>
  <si>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</si>
  <si>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</si>
  <si>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</si>
  <si>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</si>
  <si>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</si>
  <si>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</si>
  <si>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</si>
  <si>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</si>
  <si>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</si>
  <si>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</si>
  <si>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</si>
  <si>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</si>
  <si>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</si>
  <si>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</si>
  <si>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</si>
  <si>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</si>
  <si>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</si>
  <si>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</si>
  <si>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</si>
  <si>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</si>
  <si>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</si>
  <si>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</si>
  <si>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</si>
  <si>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</si>
  <si>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</si>
  <si>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</si>
  <si>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</si>
  <si>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</si>
  <si>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</si>
  <si>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</si>
  <si>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</si>
  <si>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</si>
  <si>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</si>
  <si>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</si>
  <si>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</si>
  <si>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</si>
  <si>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</si>
  <si>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</si>
  <si>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</si>
  <si>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</si>
  <si>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</si>
  <si>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</si>
  <si>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</si>
  <si>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</si>
  <si>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</si>
  <si>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</si>
  <si>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</si>
  <si>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</si>
  <si>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</si>
  <si>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</si>
  <si>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</si>
  <si>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</si>
  <si>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</si>
  <si>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</si>
  <si>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</si>
  <si>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</si>
  <si>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</si>
  <si>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</si>
  <si>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</si>
  <si>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</si>
  <si>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</si>
  <si>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</si>
  <si>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</si>
  <si>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</si>
  <si>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</si>
  <si>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</si>
  <si>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</si>
  <si>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</si>
  <si>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</si>
  <si>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</si>
  <si>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</si>
  <si>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</si>
  <si>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</si>
  <si>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</si>
  <si>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</si>
  <si>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</si>
  <si>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</si>
  <si>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</si>
  <si>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</si>
  <si>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</si>
  <si>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</si>
  <si>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</si>
  <si>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</si>
  <si>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</si>
  <si>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</si>
  <si>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</si>
  <si>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</si>
  <si>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</si>
  <si>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</si>
  <si>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</si>
  <si>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</si>
  <si>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</si>
  <si>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</si>
  <si>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</si>
  <si>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</si>
  <si>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</si>
  <si>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</si>
  <si>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</si>
  <si>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</si>
  <si>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</si>
  <si>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</si>
  <si>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</si>
  <si>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</si>
  <si>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</si>
  <si>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</si>
  <si>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</si>
  <si>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</si>
  <si>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</si>
  <si>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</si>
  <si>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</si>
  <si>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</si>
  <si>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</si>
  <si>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</si>
  <si>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</si>
  <si>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</si>
  <si>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</si>
  <si>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</si>
  <si>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</si>
  <si>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</si>
  <si>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</si>
  <si>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</si>
  <si>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</si>
  <si>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</si>
  <si>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</si>
  <si>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</si>
  <si>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</si>
  <si>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</si>
  <si>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</si>
  <si>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</si>
  <si>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</si>
  <si>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</si>
  <si>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</si>
  <si>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</si>
  <si>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</si>
  <si>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</si>
  <si>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</si>
  <si>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</si>
  <si>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</si>
  <si>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</si>
  <si>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</si>
  <si>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</si>
  <si>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</si>
  <si>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</si>
  <si>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</si>
  <si>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</si>
  <si>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</si>
  <si>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</si>
  <si>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</si>
  <si>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</si>
  <si>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</si>
  <si>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</si>
  <si>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</si>
  <si>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</si>
  <si>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</si>
  <si>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</si>
  <si>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</si>
  <si>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</si>
  <si>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</si>
  <si>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</si>
  <si>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</si>
  <si>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</si>
  <si>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</si>
  <si>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</si>
  <si>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</si>
  <si>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</si>
  <si>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</si>
  <si>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</si>
  <si>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</si>
  <si>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</si>
  <si>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</si>
  <si>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</si>
  <si>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</si>
  <si>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</si>
  <si>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</si>
  <si>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</si>
  <si>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</si>
  <si>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</si>
  <si>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</si>
  <si>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</si>
  <si>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</si>
  <si>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</si>
  <si>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</si>
  <si>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</si>
  <si>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</si>
  <si>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</si>
  <si>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</si>
  <si>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</si>
  <si>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</si>
  <si>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</si>
  <si>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</si>
  <si>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</si>
  <si>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</si>
  <si>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</si>
  <si>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</si>
  <si>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</si>
  <si>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</si>
  <si>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</si>
  <si>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</si>
  <si>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</si>
  <si>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</si>
  <si>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</si>
  <si>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</si>
  <si>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</si>
  <si>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</si>
  <si>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</si>
  <si>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</si>
  <si>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</si>
  <si>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</si>
  <si>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</si>
  <si>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</si>
  <si>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</si>
  <si>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</si>
  <si>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</si>
  <si>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</si>
  <si>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</si>
  <si>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</si>
  <si>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</si>
  <si>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</si>
  <si>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</si>
  <si>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</si>
  <si>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</si>
  <si>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</si>
  <si>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</si>
  <si>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</si>
  <si>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</si>
  <si>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</si>
  <si>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</si>
  <si>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</si>
  <si>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</si>
  <si>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</si>
  <si>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</si>
  <si>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</si>
  <si>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</si>
  <si>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</si>
  <si>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</si>
  <si>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</si>
  <si>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</si>
  <si>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</si>
  <si>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</si>
  <si>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</si>
  <si>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</si>
  <si>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</si>
  <si>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</si>
  <si>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</si>
  <si>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</si>
  <si>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</si>
  <si>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</si>
  <si>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</si>
  <si>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</si>
  <si>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</si>
  <si>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</si>
  <si>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</si>
  <si>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</si>
  <si>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</si>
  <si>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</si>
  <si>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</si>
  <si>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</si>
  <si>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</si>
  <si>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</si>
  <si>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</si>
  <si>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</si>
  <si>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</si>
  <si>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</si>
  <si>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</si>
  <si>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</si>
  <si>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</si>
  <si>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</si>
  <si>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</si>
  <si>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</si>
  <si>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</si>
  <si>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</si>
  <si>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</si>
  <si>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</si>
  <si>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</si>
  <si>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</si>
  <si>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</si>
  <si>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</si>
  <si>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</si>
  <si>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</si>
  <si>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</si>
  <si>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</si>
  <si>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</si>
  <si>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</si>
  <si>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</si>
  <si>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</si>
  <si>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</si>
  <si>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</si>
  <si>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</si>
  <si>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</si>
  <si>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</si>
  <si>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</si>
  <si>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</si>
  <si>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</si>
  <si>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</si>
  <si>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</si>
  <si>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</si>
  <si>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</si>
  <si>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</si>
  <si>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</si>
  <si>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</si>
  <si>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</si>
  <si>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</si>
  <si>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</si>
  <si>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</si>
  <si>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</si>
  <si>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</si>
  <si>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</si>
  <si>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</si>
  <si>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</si>
  <si>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</si>
  <si>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</si>
  <si>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</si>
  <si>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</si>
  <si>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</si>
  <si>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</si>
  <si>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</si>
  <si>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</si>
  <si>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</si>
  <si>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</si>
  <si>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</si>
  <si>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</si>
  <si>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</si>
  <si>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</si>
  <si>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</si>
  <si>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</si>
  <si>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</si>
  <si>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</si>
  <si>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</si>
  <si>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</si>
  <si>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</si>
  <si>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</si>
  <si>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</si>
  <si>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</si>
  <si>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</si>
  <si>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</si>
  <si>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</si>
  <si>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</si>
  <si>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</si>
  <si>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</si>
  <si>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</si>
  <si>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</si>
  <si>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</si>
  <si>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</si>
  <si>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</si>
  <si>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</si>
  <si>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</si>
  <si>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</si>
  <si>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</si>
  <si>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</si>
  <si>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</si>
  <si>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</si>
  <si>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</si>
  <si>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</si>
  <si>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</si>
  <si>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</si>
  <si>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</si>
  <si>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</si>
  <si>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</si>
  <si>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</si>
  <si>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</si>
  <si>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</si>
  <si>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</si>
  <si>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</si>
  <si>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</si>
  <si>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</si>
  <si>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</si>
  <si>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</si>
  <si>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</si>
  <si>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</si>
  <si>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</si>
  <si>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</si>
  <si>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</si>
  <si>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</si>
  <si>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</si>
  <si>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</si>
  <si>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</si>
  <si>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</si>
  <si>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</si>
  <si>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</si>
  <si>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</si>
  <si>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</si>
  <si>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</si>
  <si>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</si>
  <si>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</si>
  <si>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</si>
  <si>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</si>
  <si>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</si>
  <si>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</si>
  <si>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</si>
  <si>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</si>
  <si>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</si>
  <si>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</si>
  <si>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</si>
  <si>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</si>
  <si>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</si>
  <si>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</si>
  <si>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</si>
  <si>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</si>
  <si>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</si>
  <si>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</si>
  <si>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</si>
  <si>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</si>
  <si>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</si>
  <si>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</si>
  <si>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</si>
  <si>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</si>
  <si>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</si>
  <si>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</si>
  <si>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</si>
  <si>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</si>
  <si>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</si>
  <si>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</si>
  <si>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</si>
  <si>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</si>
  <si>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</si>
  <si>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</si>
  <si>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</si>
  <si>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</si>
  <si>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</si>
  <si>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</si>
  <si>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</si>
  <si>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</si>
  <si>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</si>
  <si>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</si>
  <si>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</si>
  <si>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</si>
  <si>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</si>
  <si>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</si>
  <si>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</si>
  <si>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</si>
  <si>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</si>
  <si>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</si>
  <si>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</si>
  <si>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</si>
  <si>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</si>
  <si>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</si>
  <si>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</si>
  <si>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</si>
  <si>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</si>
  <si>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</si>
  <si>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</si>
  <si>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</si>
  <si>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</si>
  <si>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</si>
  <si>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</si>
  <si>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</si>
  <si>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</si>
  <si>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</si>
  <si>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</si>
  <si>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</si>
  <si>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</si>
  <si>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</si>
  <si>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</si>
  <si>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</si>
  <si>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</si>
  <si>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</si>
  <si>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</si>
  <si>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</si>
  <si>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</si>
  <si>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</si>
  <si>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</si>
  <si>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</si>
  <si>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</si>
  <si>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</si>
  <si>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</si>
  <si>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</si>
  <si>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</si>
  <si>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</si>
  <si>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</si>
  <si>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</si>
  <si>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</si>
  <si>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</si>
  <si>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</si>
  <si>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</si>
  <si>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</si>
  <si>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</si>
  <si>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</si>
  <si>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</si>
  <si>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</si>
  <si>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</si>
  <si>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</si>
  <si>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</si>
  <si>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</si>
  <si>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</si>
  <si>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</si>
  <si>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</si>
  <si>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</si>
  <si>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</si>
  <si>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</si>
  <si>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</si>
  <si>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</si>
  <si>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</si>
  <si>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</si>
  <si>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</si>
  <si>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</si>
  <si>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</si>
  <si>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</si>
  <si>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</si>
  <si>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</si>
  <si>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</si>
  <si>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</si>
  <si>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</si>
  <si>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</si>
  <si>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</si>
  <si>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</si>
  <si>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</si>
  <si>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</si>
  <si>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</si>
  <si>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</si>
  <si>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</si>
  <si>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</si>
  <si>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</si>
  <si>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</si>
  <si>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</si>
  <si>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</si>
  <si>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</si>
  <si>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</si>
  <si>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</si>
  <si>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</si>
  <si>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</si>
  <si>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</si>
  <si>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</si>
  <si>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</si>
  <si>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</si>
  <si>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</si>
  <si>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</si>
  <si>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</si>
  <si>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</si>
  <si>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</si>
  <si>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</si>
  <si>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</si>
  <si>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</si>
  <si>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</si>
  <si>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</si>
  <si>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</si>
  <si>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</si>
  <si>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</si>
  <si>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</si>
  <si>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</si>
  <si>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</si>
  <si>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</si>
  <si>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</si>
  <si>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</si>
  <si>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</si>
  <si>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</si>
  <si>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</si>
  <si>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</si>
  <si>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</si>
  <si>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</si>
  <si>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</si>
  <si>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</si>
  <si>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</si>
  <si>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</si>
  <si>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</si>
  <si>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</si>
  <si>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</si>
  <si>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</si>
  <si>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</si>
  <si>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</si>
  <si>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</si>
  <si>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</si>
  <si>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</si>
  <si>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</si>
  <si>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</si>
  <si>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</si>
  <si>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</si>
  <si>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</si>
  <si>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</si>
  <si>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</si>
  <si>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</si>
  <si>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</si>
  <si>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</si>
  <si>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</si>
  <si>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</si>
  <si>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</si>
  <si>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</si>
  <si>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</si>
  <si>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</si>
  <si>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</si>
  <si>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</si>
  <si>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</si>
  <si>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</si>
  <si>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</si>
  <si>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</si>
  <si>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</si>
  <si>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</si>
  <si>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</si>
  <si>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</si>
  <si>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</si>
  <si>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</si>
  <si>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</si>
  <si>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</si>
  <si>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</si>
  <si>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</si>
  <si>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</si>
  <si>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</si>
  <si>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</si>
  <si>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</si>
  <si>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</si>
  <si>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</si>
  <si>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</si>
  <si>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</si>
  <si>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</si>
  <si>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</si>
  <si>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</si>
  <si>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</si>
  <si>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</si>
  <si>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</si>
  <si>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</si>
  <si>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</si>
  <si>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</si>
  <si>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</si>
  <si>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</si>
  <si>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</si>
  <si>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</si>
  <si>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</si>
  <si>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</si>
  <si>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</si>
  <si>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</si>
  <si>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</si>
  <si>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</si>
  <si>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</si>
  <si>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</si>
  <si>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</si>
  <si>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</si>
  <si>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</si>
  <si>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</si>
  <si>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</si>
  <si>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</si>
  <si>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</si>
  <si>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</si>
  <si>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</si>
  <si>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</si>
  <si>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</si>
  <si>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</si>
  <si>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</si>
  <si>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</si>
  <si>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</si>
  <si>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</si>
  <si>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</si>
  <si>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</si>
  <si>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</si>
  <si>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</si>
  <si>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</si>
  <si>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</si>
  <si>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</si>
  <si>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</si>
  <si>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</si>
  <si>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</si>
  <si>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</si>
  <si>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</si>
  <si>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</si>
  <si>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</si>
  <si>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</si>
  <si>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</si>
  <si>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</si>
  <si>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</si>
  <si>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</si>
  <si>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</si>
  <si>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</si>
  <si>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</si>
  <si>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</si>
  <si>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</si>
  <si>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</si>
  <si>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</si>
  <si>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</si>
  <si>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</si>
  <si>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</si>
  <si>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</si>
  <si>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</si>
  <si>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</si>
  <si>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</si>
  <si>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</si>
  <si>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</si>
  <si>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</si>
  <si>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</si>
  <si>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</si>
  <si>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</si>
  <si>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</si>
  <si>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</si>
  <si>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</si>
  <si>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</si>
  <si>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</si>
  <si>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</si>
  <si>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</si>
  <si>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</si>
  <si>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</si>
  <si>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</si>
  <si>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</si>
  <si>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</si>
  <si>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</si>
  <si>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</si>
  <si>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</si>
  <si>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</si>
  <si>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</si>
  <si>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</si>
  <si>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</si>
  <si>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</si>
  <si>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</si>
  <si>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</si>
  <si>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</si>
  <si>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</si>
  <si>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</si>
  <si>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</si>
  <si>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</si>
  <si>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</si>
  <si>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</si>
  <si>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</si>
  <si>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</si>
  <si>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</si>
  <si>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</si>
  <si>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</si>
  <si>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</si>
  <si>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</si>
  <si>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</si>
  <si>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</si>
  <si>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</si>
  <si>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</si>
  <si>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</si>
  <si>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</si>
  <si>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</si>
  <si>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</si>
  <si>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</si>
  <si>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</si>
  <si>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</si>
  <si>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</si>
  <si>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</si>
  <si>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</si>
  <si>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</si>
  <si>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</si>
  <si>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</si>
  <si>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</si>
  <si>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</si>
  <si>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</si>
  <si>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</si>
  <si>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</si>
  <si>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</si>
  <si>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</si>
  <si>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</si>
  <si>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</si>
  <si>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</si>
  <si>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</si>
  <si>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</si>
  <si>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</si>
  <si>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</si>
  <si>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</si>
  <si>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</si>
  <si>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</si>
  <si>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</si>
  <si>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</si>
  <si>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</si>
  <si>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</si>
  <si>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</si>
  <si>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</si>
  <si>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</si>
  <si>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</si>
  <si>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</si>
  <si>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</si>
  <si>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</si>
  <si>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</si>
  <si>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</si>
  <si>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</si>
  <si>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</si>
  <si>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</si>
  <si>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</si>
  <si>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</si>
  <si>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</si>
  <si>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</si>
  <si>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</si>
  <si>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</si>
  <si>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</si>
  <si>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</si>
  <si>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</si>
  <si>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</si>
  <si>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</si>
  <si>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</si>
  <si>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</si>
  <si>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</si>
  <si>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</si>
  <si>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</si>
  <si>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</si>
  <si>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</si>
  <si>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</si>
  <si>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</si>
  <si>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</si>
  <si>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</si>
  <si>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</si>
  <si>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</si>
  <si>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</si>
  <si>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</si>
  <si>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</si>
  <si>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</si>
  <si>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</si>
  <si>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</si>
  <si>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</si>
  <si>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</si>
  <si>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</si>
  <si>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</si>
  <si>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</si>
  <si>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</si>
  <si>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</si>
  <si>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</si>
  <si>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</si>
  <si>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</si>
  <si>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</si>
  <si>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</si>
  <si>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</si>
  <si>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</si>
  <si>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</si>
  <si>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</si>
  <si>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</si>
  <si>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</si>
  <si>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</si>
  <si>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</si>
  <si>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</si>
  <si>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</si>
  <si>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</si>
  <si>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</si>
  <si>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</si>
  <si>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</si>
  <si>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</si>
  <si>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</si>
  <si>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</si>
  <si>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</si>
  <si>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</si>
  <si>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</si>
  <si>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</si>
  <si>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</si>
  <si>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</si>
  <si>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</si>
  <si>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</si>
  <si>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</si>
  <si>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</si>
  <si>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</si>
  <si>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</si>
  <si>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</si>
  <si>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</si>
  <si>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</si>
  <si>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</si>
  <si>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</si>
  <si>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</si>
  <si>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</si>
  <si>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</si>
  <si>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</si>
  <si>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</si>
  <si>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</si>
  <si>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</si>
  <si>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</si>
  <si>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</si>
  <si>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</si>
  <si>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</si>
  <si>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</si>
  <si>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</si>
  <si>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</si>
  <si>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</si>
  <si>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</si>
  <si>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</si>
  <si>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</si>
  <si>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</si>
  <si>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</si>
  <si>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</si>
  <si>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</si>
  <si>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</si>
  <si>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</si>
  <si>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</si>
  <si>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</si>
  <si>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</si>
  <si>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</si>
  <si>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</si>
  <si>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</si>
  <si>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</si>
  <si>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</si>
  <si>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</si>
  <si>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</si>
  <si>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</si>
  <si>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</si>
  <si>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</si>
  <si>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</si>
  <si>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</si>
  <si>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</si>
  <si>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</si>
  <si>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</si>
  <si>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</si>
  <si>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</si>
  <si>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</si>
  <si>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</si>
  <si>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</si>
  <si>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</si>
  <si>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</si>
  <si>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</si>
  <si>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</si>
  <si>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</si>
  <si>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</si>
  <si>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</si>
  <si>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</si>
  <si>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</si>
  <si>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</si>
  <si>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</si>
  <si>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</si>
  <si>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</si>
  <si>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</si>
  <si>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</si>
  <si>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</si>
  <si>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</si>
  <si>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</si>
  <si>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</si>
  <si>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</si>
  <si>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</si>
  <si>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</si>
  <si>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</si>
  <si>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</si>
  <si>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</si>
  <si>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</si>
  <si>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</si>
  <si>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</si>
  <si>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</si>
  <si>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</si>
  <si>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</si>
  <si>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</si>
  <si>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</si>
  <si>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</si>
  <si>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</si>
  <si>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</si>
  <si>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</si>
  <si>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</si>
  <si>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</si>
  <si>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</si>
  <si>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</si>
  <si>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</si>
  <si>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</si>
  <si>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</si>
  <si>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</si>
  <si>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</si>
  <si>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</si>
  <si>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</si>
  <si>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</si>
  <si>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</si>
  <si>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</si>
  <si>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</si>
  <si>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</si>
  <si>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</si>
  <si>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</si>
  <si>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</si>
  <si>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</si>
  <si>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</si>
  <si>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</si>
  <si>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</si>
  <si>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</si>
  <si>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</si>
  <si>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</si>
  <si>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</si>
  <si>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</si>
  <si>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</si>
  <si>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</si>
  <si>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</si>
  <si>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</si>
  <si>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</si>
  <si>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</si>
  <si>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</si>
  <si>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</si>
  <si>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</si>
  <si>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</si>
  <si>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</si>
  <si>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</si>
  <si>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</si>
  <si>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</si>
  <si>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</si>
  <si>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</si>
  <si>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</si>
  <si>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</si>
  <si>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</si>
  <si>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</si>
  <si>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</si>
  <si>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</si>
  <si>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</si>
  <si>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</si>
  <si>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</si>
  <si>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</si>
  <si>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</si>
  <si>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</si>
  <si>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</si>
  <si>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</si>
  <si>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</si>
  <si>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</si>
  <si>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</si>
  <si>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</si>
  <si>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</si>
  <si>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</si>
  <si>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</si>
  <si>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</si>
  <si>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</si>
  <si>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</si>
  <si>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</si>
  <si>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</si>
  <si>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</si>
  <si>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</si>
  <si>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</si>
  <si>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</si>
  <si>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</si>
  <si>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</si>
  <si>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</si>
  <si>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</si>
  <si>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</si>
  <si>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</si>
  <si>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</si>
  <si>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</si>
  <si>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</si>
  <si>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</si>
  <si>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</si>
  <si>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</si>
  <si>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</si>
  <si>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</si>
  <si>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</si>
  <si>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</si>
  <si>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</si>
  <si>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</si>
  <si>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</si>
  <si>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</si>
  <si>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</si>
  <si>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</si>
  <si>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</si>
  <si>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</si>
  <si>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</si>
  <si>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</si>
  <si>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</si>
  <si>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</si>
  <si>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</si>
  <si>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</si>
  <si>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</si>
  <si>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</si>
  <si>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</si>
  <si>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</si>
  <si>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</si>
  <si>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</si>
  <si>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</si>
  <si>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</si>
  <si>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</si>
  <si>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</si>
  <si>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</si>
  <si>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</si>
  <si>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</si>
  <si>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</si>
  <si>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</si>
  <si>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</si>
  <si>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</si>
  <si>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</si>
  <si>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</si>
  <si>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</si>
  <si>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</si>
  <si>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</si>
  <si>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</si>
  <si>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</si>
  <si>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</si>
  <si>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</si>
  <si>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</si>
  <si>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</si>
  <si>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</si>
  <si>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</si>
  <si>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</si>
  <si>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</si>
  <si>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</si>
  <si>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</si>
  <si>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</si>
  <si>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</si>
  <si>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</si>
  <si>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</si>
  <si>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</si>
  <si>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</si>
  <si>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</si>
  <si>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</si>
  <si>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</si>
  <si>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</si>
  <si>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</si>
  <si>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</si>
  <si>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</si>
  <si>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</si>
  <si>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</si>
  <si>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</si>
  <si>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</si>
  <si>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</si>
  <si>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</si>
  <si>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</si>
  <si>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</si>
  <si>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</si>
  <si>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</si>
  <si>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</si>
  <si>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</si>
  <si>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</si>
  <si>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</si>
  <si>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</si>
  <si>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</si>
  <si>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</si>
  <si>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</si>
  <si>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</si>
  <si>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</si>
  <si>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</si>
  <si>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</si>
  <si>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</si>
  <si>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</si>
  <si>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</si>
  <si>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</si>
  <si>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</si>
  <si>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</si>
  <si>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</si>
  <si>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</si>
  <si>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</si>
  <si>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</si>
  <si>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</si>
  <si>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</si>
  <si>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</si>
  <si>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</si>
  <si>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</si>
  <si>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</si>
  <si>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</si>
  <si>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</si>
  <si>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</si>
  <si>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</si>
  <si>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</si>
  <si>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</si>
  <si>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</si>
  <si>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</si>
  <si>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</si>
  <si>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</si>
  <si>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</si>
  <si>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</si>
  <si>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</si>
  <si>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</si>
  <si>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</si>
  <si>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</si>
  <si>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</si>
  <si>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</si>
  <si>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</si>
  <si>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</si>
  <si>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</si>
  <si>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</si>
  <si>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</si>
  <si>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</si>
  <si>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</si>
  <si>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</si>
  <si>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</si>
  <si>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</si>
  <si>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</si>
  <si>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</si>
  <si>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</si>
  <si>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</si>
  <si>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</si>
  <si>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</si>
  <si>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</si>
  <si>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</si>
  <si>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</si>
  <si>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</si>
  <si>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</si>
  <si>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</si>
  <si>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</si>
  <si>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</si>
  <si>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</si>
  <si>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</si>
  <si>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</si>
  <si>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</si>
  <si>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</si>
  <si>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</si>
  <si>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</si>
  <si>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</si>
  <si>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</si>
  <si>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</si>
  <si>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</si>
  <si>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</si>
  <si>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</si>
  <si>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</si>
  <si>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</si>
  <si>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</si>
  <si>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</si>
  <si>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</si>
  <si>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</si>
  <si>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</si>
  <si>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</si>
  <si>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</si>
  <si>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</si>
  <si>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</si>
  <si>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</si>
  <si>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</si>
  <si>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</si>
  <si>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</si>
  <si>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</si>
  <si>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</si>
  <si>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</si>
  <si>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</si>
  <si>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</si>
  <si>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</si>
  <si>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</si>
  <si>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</si>
  <si>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</si>
  <si>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</si>
  <si>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</si>
  <si>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</si>
  <si>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</si>
  <si>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</si>
  <si>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</si>
  <si>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</si>
  <si>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</si>
  <si>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</si>
  <si>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</si>
  <si>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</si>
  <si>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</si>
  <si>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</si>
  <si>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</si>
  <si>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</si>
  <si>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</si>
  <si>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</si>
  <si>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</si>
  <si>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</si>
  <si>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</si>
  <si>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</si>
  <si>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</si>
  <si>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</si>
  <si>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</si>
  <si>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</si>
  <si>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</si>
  <si>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</si>
  <si>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</si>
  <si>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</si>
  <si>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</si>
  <si>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</si>
  <si>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</si>
  <si>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</si>
  <si>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</si>
  <si>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</si>
  <si>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</si>
  <si>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</si>
  <si>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</si>
  <si>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</si>
  <si>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</si>
  <si>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</si>
  <si>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</si>
  <si>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</si>
  <si>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</si>
  <si>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</si>
  <si>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</si>
  <si>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</si>
  <si>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</si>
  <si>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</si>
  <si>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</si>
  <si>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</si>
  <si>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</si>
  <si>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</si>
  <si>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</si>
  <si>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</si>
  <si>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</si>
  <si>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</si>
  <si>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</si>
  <si>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</si>
  <si>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</si>
  <si>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</si>
  <si>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</si>
  <si>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</si>
  <si>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</si>
  <si>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</si>
  <si>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</si>
  <si>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</si>
  <si>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</si>
  <si>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</si>
  <si>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</si>
  <si>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</si>
  <si>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</si>
  <si>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</si>
  <si>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</si>
  <si>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</si>
  <si>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</si>
  <si>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</si>
  <si>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</si>
  <si>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</si>
  <si>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</si>
  <si>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</si>
  <si>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</si>
  <si>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</si>
  <si>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</si>
  <si>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</si>
  <si>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</si>
  <si>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</si>
  <si>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</si>
  <si>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</si>
  <si>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</si>
  <si>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</si>
  <si>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</si>
  <si>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</si>
  <si>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</si>
  <si>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</si>
  <si>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</si>
  <si>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</si>
  <si>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</si>
  <si>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</si>
  <si>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</si>
  <si>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</si>
  <si>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</si>
  <si>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</si>
  <si>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</si>
  <si>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</si>
  <si>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</si>
  <si>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</si>
  <si>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</si>
  <si>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</si>
  <si>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</si>
  <si>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</si>
  <si>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</si>
  <si>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</si>
  <si>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</si>
  <si>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</si>
  <si>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</si>
  <si>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</si>
  <si>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</si>
  <si>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</si>
  <si>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</si>
  <si>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</si>
  <si>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</si>
  <si>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</si>
  <si>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</si>
  <si>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</si>
  <si>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</si>
  <si>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</si>
  <si>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</si>
  <si>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</si>
  <si>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</si>
  <si>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</si>
  <si>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</si>
  <si>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</si>
  <si>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</si>
  <si>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</si>
  <si>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</si>
  <si>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</si>
  <si>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</si>
  <si>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</si>
  <si>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</si>
  <si>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</si>
  <si>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</si>
  <si>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</si>
  <si>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</si>
  <si>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</si>
  <si>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</si>
  <si>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</si>
  <si>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</si>
  <si>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</si>
  <si>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</si>
  <si>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</si>
  <si>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</si>
  <si>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</si>
  <si>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</si>
  <si>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</si>
  <si>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</si>
  <si>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</si>
  <si>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</si>
  <si>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</si>
  <si>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</si>
  <si>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</si>
  <si>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</si>
  <si>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</si>
  <si>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</si>
  <si>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</si>
  <si>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</si>
  <si>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</si>
  <si>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</si>
  <si>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</si>
  <si>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</si>
  <si>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</si>
  <si>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</si>
  <si>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</si>
  <si>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</si>
  <si>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</si>
  <si>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</si>
  <si>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</si>
  <si>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</si>
  <si>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</si>
  <si>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</si>
  <si>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</si>
  <si>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</si>
  <si>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</si>
  <si>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</si>
  <si>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</si>
  <si>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</si>
  <si>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</si>
  <si>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</si>
  <si>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</si>
  <si>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</si>
  <si>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</si>
  <si>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</si>
  <si>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</si>
  <si>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</si>
  <si>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</si>
  <si>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</si>
  <si>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</si>
  <si>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</si>
  <si>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</si>
  <si>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</si>
  <si>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</si>
  <si>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</si>
  <si>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</si>
  <si>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</si>
  <si>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</si>
  <si>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</si>
  <si>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</si>
  <si>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</si>
  <si>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</si>
  <si>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</si>
  <si>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</si>
  <si>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</si>
  <si>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</si>
  <si>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</si>
  <si>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</si>
  <si>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</si>
  <si>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</si>
  <si>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</si>
  <si>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</si>
  <si>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</si>
  <si>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</si>
  <si>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</si>
  <si>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</si>
  <si>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</si>
  <si>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</si>
  <si>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</si>
  <si>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</si>
  <si>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</si>
  <si>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</si>
  <si>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</si>
  <si>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</si>
  <si>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</si>
  <si>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</si>
  <si>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</si>
  <si>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</si>
  <si>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</si>
  <si>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</si>
  <si>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</si>
  <si>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</si>
  <si>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</si>
  <si>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</si>
  <si>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</si>
  <si>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</si>
  <si>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</si>
  <si>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</si>
  <si>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</si>
  <si>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</si>
  <si>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</si>
  <si>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</si>
  <si>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</si>
  <si>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</si>
  <si>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</si>
  <si>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</si>
  <si>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</si>
  <si>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</si>
  <si>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</si>
  <si>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</si>
  <si>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</si>
  <si>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</si>
  <si>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</si>
  <si>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</si>
  <si>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</si>
  <si>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</si>
  <si>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</si>
  <si>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</si>
  <si>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</si>
  <si>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</si>
  <si>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</si>
  <si>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</si>
  <si>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</si>
  <si>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</si>
  <si>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</si>
  <si>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</si>
  <si>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</si>
  <si>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</si>
  <si>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</si>
  <si>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</si>
  <si>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</si>
  <si>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</si>
  <si>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</si>
  <si>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</si>
  <si>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</si>
  <si>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</si>
  <si>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</si>
  <si>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</si>
  <si>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</si>
  <si>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</si>
  <si>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</si>
  <si>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</si>
  <si>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</si>
  <si>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</si>
  <si>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</si>
  <si>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</si>
  <si>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</si>
  <si>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</si>
  <si>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</si>
  <si>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</si>
  <si>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</si>
  <si>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</si>
  <si>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</si>
  <si>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</si>
  <si>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</si>
  <si>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</si>
  <si>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</si>
  <si>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</si>
  <si>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</si>
  <si>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</si>
  <si>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</si>
  <si>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</si>
  <si>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</si>
  <si>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</si>
  <si>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</si>
  <si>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</si>
  <si>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</si>
  <si>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</si>
  <si>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</si>
  <si>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</si>
  <si>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</si>
  <si>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</si>
  <si>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</si>
  <si>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</si>
  <si>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</si>
  <si>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</si>
  <si>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</si>
  <si>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</si>
  <si>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</si>
  <si>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</si>
  <si>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</si>
  <si>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</si>
  <si>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</si>
  <si>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</si>
  <si>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</si>
  <si>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</si>
  <si>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</si>
  <si>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</si>
  <si>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</si>
  <si>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</si>
  <si>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</si>
  <si>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</si>
  <si>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</si>
  <si>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</si>
  <si>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</si>
  <si>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</si>
  <si>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</si>
  <si>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</si>
  <si>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</si>
  <si>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</si>
  <si>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</si>
  <si>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</si>
  <si>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</si>
  <si>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</si>
  <si>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</si>
  <si>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</si>
  <si>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</si>
  <si>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</si>
  <si>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</si>
  <si>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</si>
  <si>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</si>
  <si>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</si>
  <si>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</si>
  <si>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</si>
  <si>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</si>
  <si>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</si>
  <si>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</si>
  <si>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</si>
  <si>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</si>
  <si>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</si>
  <si>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</si>
  <si>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</si>
  <si>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</si>
  <si>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</si>
  <si>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</si>
  <si>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</si>
  <si>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</si>
  <si>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</si>
  <si>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</si>
  <si>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</si>
  <si>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</si>
  <si>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</si>
  <si>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</si>
  <si>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</si>
  <si>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</si>
  <si>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</si>
  <si>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</si>
  <si>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</si>
  <si>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</si>
  <si>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</si>
  <si>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</si>
  <si>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</si>
  <si>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</si>
  <si>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</si>
  <si>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</si>
  <si>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</si>
  <si>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</si>
  <si>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</si>
  <si>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</si>
  <si>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</si>
  <si>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</si>
  <si>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</si>
  <si>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</si>
  <si>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</si>
  <si>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</si>
  <si>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</si>
  <si>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</si>
  <si>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</si>
  <si>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</si>
  <si>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</si>
  <si>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</si>
  <si>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</si>
  <si>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</si>
  <si>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</si>
  <si>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</si>
  <si>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</si>
  <si>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</si>
  <si>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</si>
  <si>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</si>
  <si>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</si>
  <si>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</si>
  <si>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</si>
  <si>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</si>
  <si>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</si>
  <si>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</si>
  <si>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</si>
  <si>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</si>
  <si>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</si>
  <si>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</si>
  <si>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</si>
  <si>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</si>
  <si>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</si>
  <si>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</si>
  <si>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</si>
  <si>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</si>
  <si>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</si>
  <si>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</si>
  <si>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</si>
  <si>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</si>
  <si>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</si>
  <si>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</si>
  <si>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</si>
  <si>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</si>
  <si>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</si>
  <si>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</si>
  <si>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</si>
  <si>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</si>
  <si>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</si>
  <si>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</si>
  <si>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</si>
  <si>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</si>
  <si>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</si>
  <si>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</si>
  <si>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</si>
  <si>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</si>
  <si>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</si>
  <si>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</si>
  <si>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</si>
  <si>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</si>
  <si>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</si>
  <si>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</si>
  <si>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</si>
  <si>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</si>
  <si>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</si>
  <si>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</si>
  <si>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</si>
  <si>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</si>
  <si>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</si>
  <si>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</si>
  <si>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</si>
  <si>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</si>
  <si>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</si>
  <si>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</si>
  <si>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</si>
  <si>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</si>
  <si>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</si>
  <si>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</si>
  <si>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</si>
  <si>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</si>
  <si>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</si>
  <si>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</si>
  <si>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</si>
  <si>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</si>
  <si>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</si>
  <si>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</si>
  <si>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</si>
  <si>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</si>
  <si>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</si>
  <si>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</si>
  <si>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</si>
  <si>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</si>
  <si>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</si>
  <si>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</si>
  <si>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</si>
  <si>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</si>
  <si>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</si>
  <si>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</si>
  <si>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</si>
  <si>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</si>
  <si>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</si>
  <si>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</si>
  <si>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</si>
  <si>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</si>
  <si>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</si>
  <si>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</si>
  <si>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</si>
  <si>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</si>
  <si>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</si>
  <si>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</si>
  <si>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</si>
  <si>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</si>
  <si>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</si>
  <si>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</si>
  <si>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</si>
  <si>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</si>
  <si>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</si>
  <si>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</si>
  <si>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</si>
  <si>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</si>
  <si>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</si>
  <si>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</si>
  <si>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</si>
  <si>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</si>
  <si>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</si>
  <si>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</si>
  <si>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</si>
  <si>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</si>
  <si>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</si>
  <si>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</si>
  <si>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</si>
  <si>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</si>
  <si>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</si>
  <si>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</si>
  <si>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</si>
  <si>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</si>
  <si>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</si>
  <si>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</si>
  <si>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</si>
  <si>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</si>
  <si>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</si>
  <si>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</si>
  <si>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</si>
  <si>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</si>
  <si>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</si>
  <si>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</si>
  <si>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</si>
  <si>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</si>
  <si>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</si>
  <si>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</si>
  <si>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</si>
  <si>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</si>
  <si>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</si>
  <si>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</si>
  <si>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</si>
  <si>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</si>
  <si>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</si>
  <si>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</si>
  <si>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</si>
  <si>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</si>
  <si>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</si>
  <si>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</si>
  <si>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</si>
  <si>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</si>
  <si>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</si>
  <si>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</si>
  <si>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</si>
  <si>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</si>
  <si>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</si>
  <si>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</si>
  <si>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</si>
  <si>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</si>
  <si>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</si>
  <si>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</si>
  <si>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</si>
  <si>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</si>
  <si>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</si>
  <si>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</si>
  <si>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</si>
  <si>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</si>
  <si>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</si>
  <si>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</si>
  <si>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</si>
  <si>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</si>
  <si>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</si>
  <si>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</si>
  <si>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</si>
  <si>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</si>
  <si>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</si>
  <si>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</si>
  <si>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</si>
  <si>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</si>
  <si>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</si>
  <si>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</si>
  <si>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</si>
  <si>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</si>
  <si>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</si>
  <si>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</si>
  <si>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</si>
  <si>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</si>
  <si>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</si>
  <si>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</si>
  <si>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</si>
  <si>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</si>
  <si>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</si>
  <si>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</si>
  <si>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</si>
  <si>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</si>
  <si>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</si>
  <si>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</si>
  <si>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</si>
  <si>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</si>
  <si>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</si>
  <si>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</si>
  <si>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</si>
  <si>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</si>
  <si>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</si>
  <si>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</si>
  <si>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</si>
  <si>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</si>
  <si>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</si>
  <si>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</si>
  <si>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</si>
  <si>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</si>
  <si>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</si>
  <si>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</si>
  <si>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</si>
  <si>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</si>
  <si>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</si>
  <si>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</si>
  <si>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</si>
  <si>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</si>
  <si>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</si>
  <si>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</si>
  <si>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</si>
  <si>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</si>
  <si>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</si>
  <si>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</si>
  <si>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</si>
  <si>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</si>
  <si>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</si>
  <si>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</si>
  <si>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</si>
  <si>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</si>
  <si>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</si>
  <si>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</si>
  <si>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</si>
  <si>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</si>
  <si>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</si>
  <si>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</si>
  <si>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</si>
  <si>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</si>
  <si>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</si>
  <si>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</si>
  <si>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</si>
  <si>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</si>
  <si>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</si>
  <si>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</si>
  <si>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</si>
  <si>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</si>
  <si>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</si>
  <si>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</si>
  <si>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</si>
  <si>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</si>
  <si>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</si>
  <si>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</si>
  <si>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</si>
  <si>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</si>
  <si>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</si>
  <si>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</si>
  <si>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</si>
  <si>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</si>
  <si>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</si>
  <si>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</si>
  <si>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</si>
  <si>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</si>
  <si>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</si>
  <si>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</si>
  <si>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</si>
  <si>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</si>
  <si>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</si>
  <si>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</si>
  <si>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</si>
  <si>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</si>
  <si>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</si>
  <si>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</si>
  <si>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</si>
  <si>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</si>
  <si>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</si>
  <si>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</si>
  <si>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</si>
  <si>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</si>
  <si>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</si>
  <si>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</si>
  <si>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</si>
  <si>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</si>
  <si>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</si>
  <si>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</si>
  <si>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</si>
  <si>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</si>
  <si>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</si>
  <si>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</si>
  <si>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</si>
  <si>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</si>
  <si>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</si>
  <si>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</si>
  <si>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</si>
  <si>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</si>
  <si>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</si>
  <si>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</si>
  <si>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</si>
  <si>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</si>
  <si>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</si>
  <si>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</si>
  <si>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</si>
  <si>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</si>
  <si>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</si>
  <si>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</si>
  <si>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</si>
  <si>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</si>
  <si>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</si>
  <si>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</si>
  <si>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</si>
  <si>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</si>
  <si>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</si>
  <si>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</si>
  <si>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</si>
  <si>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</si>
  <si>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</si>
  <si>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</si>
  <si>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</si>
  <si>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</si>
  <si>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</si>
  <si>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</si>
  <si>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</si>
  <si>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</si>
  <si>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</si>
  <si>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</si>
  <si>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</si>
  <si>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</si>
  <si>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</si>
  <si>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</si>
  <si>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</si>
  <si>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</si>
  <si>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</si>
  <si>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</si>
  <si>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</si>
  <si>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</si>
  <si>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</si>
  <si>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</si>
  <si>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</si>
  <si>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</si>
  <si>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</si>
  <si>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</si>
  <si>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</si>
  <si>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</si>
  <si>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</si>
  <si>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</si>
  <si>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</si>
  <si>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</si>
  <si>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</si>
  <si>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</si>
  <si>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</si>
  <si>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</si>
  <si>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</si>
  <si>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</si>
  <si>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</si>
  <si>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</si>
  <si>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</si>
  <si>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</si>
  <si>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</si>
  <si>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</si>
  <si>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</si>
  <si>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</si>
  <si>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</si>
  <si>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</si>
  <si>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</si>
  <si>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</si>
  <si>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</si>
  <si>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</si>
  <si>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</si>
  <si>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</si>
  <si>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</si>
  <si>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</si>
  <si>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</si>
  <si>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</si>
  <si>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</si>
  <si>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</si>
  <si>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</si>
  <si>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</si>
  <si>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</si>
  <si>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</si>
  <si>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</si>
  <si>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</si>
  <si>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</si>
  <si>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</si>
  <si>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</si>
  <si>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</si>
  <si>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</si>
  <si>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</si>
  <si>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</si>
  <si>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</si>
  <si>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</si>
  <si>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</si>
  <si>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</si>
  <si>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</si>
  <si>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</si>
  <si>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</si>
  <si>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</si>
  <si>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</si>
  <si>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</si>
  <si>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</si>
  <si>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</si>
  <si>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</si>
  <si>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</si>
  <si>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</si>
  <si>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</si>
  <si>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</si>
  <si>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</si>
  <si>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</si>
  <si>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</si>
  <si>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</si>
  <si>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</si>
  <si>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</si>
  <si>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</si>
  <si>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</si>
  <si>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</si>
  <si>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</si>
  <si>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</si>
  <si>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</si>
  <si>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</si>
  <si>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</si>
  <si>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</si>
  <si>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</si>
  <si>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</si>
  <si>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</si>
  <si>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</si>
  <si>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</si>
  <si>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</si>
  <si>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</si>
  <si>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</si>
  <si>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</si>
  <si>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</si>
  <si>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</si>
  <si>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</si>
  <si>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</si>
  <si>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</si>
  <si>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</si>
  <si>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</si>
  <si>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</si>
  <si>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</si>
  <si>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</si>
  <si>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</si>
  <si>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</si>
  <si>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</si>
  <si>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</si>
  <si>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</si>
  <si>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</si>
  <si>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</si>
  <si>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</si>
  <si>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</si>
  <si>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</si>
  <si>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</si>
  <si>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</si>
  <si>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</si>
  <si>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</si>
  <si>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</si>
  <si>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</si>
  <si>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</si>
  <si>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</si>
  <si>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</si>
  <si>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</si>
  <si>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</si>
  <si>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</si>
  <si>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</si>
  <si>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</si>
  <si>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</si>
  <si>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</si>
  <si>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</si>
  <si>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</si>
  <si>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</si>
  <si>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</si>
  <si>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</si>
  <si>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</si>
  <si>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</si>
  <si>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</si>
  <si>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</si>
  <si>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</si>
  <si>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</si>
  <si>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</si>
  <si>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</si>
  <si>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</si>
  <si>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</si>
  <si>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</si>
  <si>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</si>
  <si>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</si>
  <si>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</si>
  <si>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</si>
  <si>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</si>
  <si>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</si>
  <si>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</si>
  <si>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</si>
  <si>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</si>
  <si>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</si>
  <si>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</si>
  <si>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</si>
  <si>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</si>
  <si>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</si>
  <si>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</si>
  <si>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</si>
  <si>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</si>
  <si>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</si>
  <si>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</si>
  <si>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</si>
  <si>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</si>
  <si>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</si>
  <si>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</si>
  <si>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</si>
  <si>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</si>
  <si>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</si>
  <si>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</si>
  <si>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</si>
  <si>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</si>
  <si>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</si>
  <si>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</si>
  <si>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</si>
  <si>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</si>
  <si>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</si>
  <si>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</si>
  <si>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</si>
  <si>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</si>
  <si>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</si>
  <si>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</si>
  <si>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</si>
  <si>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</si>
  <si>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</si>
  <si>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</si>
  <si>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</si>
  <si>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</si>
  <si>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</si>
  <si>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</si>
  <si>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</si>
  <si>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</si>
  <si>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</si>
  <si>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</si>
  <si>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</si>
  <si>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</si>
  <si>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</si>
  <si>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</si>
  <si>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</si>
  <si>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</si>
  <si>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</si>
  <si>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</si>
  <si>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</si>
  <si>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</si>
  <si>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</si>
  <si>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</si>
  <si>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</si>
  <si>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</si>
  <si>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</si>
  <si>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</si>
  <si>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</si>
  <si>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</si>
  <si>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</si>
  <si>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</si>
  <si>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</si>
  <si>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</si>
  <si>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</si>
  <si>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</si>
  <si>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</si>
  <si>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</si>
  <si>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</si>
  <si>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</si>
  <si>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</si>
  <si>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</si>
  <si>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</si>
  <si>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</si>
  <si>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</si>
  <si>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</si>
  <si>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</si>
  <si>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</si>
  <si>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</si>
  <si>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</si>
  <si>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</si>
  <si>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</si>
  <si>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</si>
  <si>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</si>
  <si>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</si>
  <si>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</si>
  <si>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</si>
  <si>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</si>
  <si>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</si>
  <si>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</si>
  <si>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</si>
  <si>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</si>
  <si>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</si>
  <si>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</si>
  <si>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</si>
  <si>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</si>
  <si>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</si>
  <si>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</si>
  <si>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</si>
  <si>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</si>
  <si>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</si>
  <si>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</si>
  <si>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</si>
  <si>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</si>
  <si>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</si>
  <si>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</si>
  <si>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</si>
  <si>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</si>
  <si>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</si>
  <si>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</si>
  <si>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</si>
  <si>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</si>
  <si>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</si>
  <si>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</si>
  <si>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</si>
  <si>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</si>
  <si>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</si>
  <si>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</si>
  <si>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</si>
  <si>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</si>
  <si>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</si>
  <si>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</si>
  <si>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</si>
  <si>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</si>
  <si>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</si>
  <si>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</si>
  <si>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</si>
  <si>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</si>
  <si>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</si>
  <si>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</si>
  <si>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</si>
  <si>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</si>
  <si>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</si>
  <si>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</si>
  <si>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</si>
  <si>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</si>
  <si>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</si>
  <si>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</si>
  <si>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</si>
  <si>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</si>
  <si>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</si>
  <si>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</si>
  <si>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</si>
  <si>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</si>
  <si>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</si>
  <si>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</si>
  <si>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</si>
  <si>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</si>
  <si>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</si>
  <si>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</si>
  <si>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</si>
  <si>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</si>
  <si>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</si>
  <si>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</si>
  <si>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</si>
  <si>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</si>
  <si>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</si>
  <si>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</si>
  <si>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</si>
  <si>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</si>
  <si>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</si>
  <si>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</si>
  <si>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</si>
  <si>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</si>
  <si>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</si>
  <si>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</si>
  <si>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</si>
  <si>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</si>
  <si>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</si>
  <si>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</si>
  <si>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</si>
  <si>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</si>
  <si>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</si>
  <si>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</si>
  <si>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</si>
  <si>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</si>
  <si>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</si>
  <si>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</si>
  <si>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</si>
  <si>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</si>
  <si>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</si>
  <si>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</si>
  <si>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</si>
  <si>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</si>
  <si>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</si>
  <si>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</si>
  <si>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</si>
  <si>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</si>
  <si>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</si>
  <si>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</si>
  <si>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</si>
  <si>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</si>
  <si>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</si>
  <si>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</si>
  <si>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</si>
  <si>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</si>
  <si>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</si>
  <si>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</si>
  <si>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</si>
  <si>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</si>
  <si>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</si>
  <si>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</si>
  <si>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</si>
  <si>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</si>
  <si>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</si>
  <si>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</si>
  <si>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</si>
  <si>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</si>
  <si>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</si>
  <si>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</si>
  <si>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</si>
  <si>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</si>
  <si>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</si>
  <si>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</si>
  <si>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</si>
  <si>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</si>
  <si>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</si>
  <si>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</si>
  <si>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</si>
  <si>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</si>
  <si>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</si>
  <si>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</si>
  <si>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</si>
  <si>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</si>
  <si>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</si>
  <si>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</si>
  <si>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</si>
  <si>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</si>
  <si>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</si>
  <si>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</si>
  <si>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</si>
  <si>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</si>
  <si>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</si>
  <si>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</si>
  <si>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</si>
  <si>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</si>
  <si>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</si>
  <si>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</si>
  <si>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</si>
  <si>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</si>
  <si>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</si>
  <si>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</si>
  <si>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</si>
  <si>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</si>
  <si>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</si>
  <si>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</si>
  <si>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</si>
  <si>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</si>
  <si>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</si>
  <si>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</si>
  <si>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</si>
  <si>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</si>
  <si>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</si>
  <si>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</si>
  <si>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</si>
  <si>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</si>
  <si>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</si>
  <si>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</si>
  <si>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</si>
  <si>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</si>
  <si>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</si>
  <si>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</si>
  <si>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</si>
  <si>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</si>
  <si>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</si>
  <si>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</si>
  <si>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</si>
  <si>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</si>
  <si>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</si>
  <si>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</si>
  <si>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</si>
  <si>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</si>
  <si>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</si>
  <si>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</si>
  <si>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</si>
  <si>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</si>
  <si>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</si>
  <si>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</si>
  <si>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</si>
  <si>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</si>
  <si>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</si>
  <si>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</si>
  <si>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</si>
  <si>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</si>
  <si>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</si>
  <si>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</si>
  <si>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</si>
  <si>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</si>
  <si>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</si>
  <si>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</si>
  <si>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</si>
  <si>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</si>
  <si>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</si>
  <si>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</si>
  <si>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</si>
  <si>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</si>
  <si>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</si>
  <si>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</si>
  <si>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</si>
  <si>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</si>
  <si>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</si>
  <si>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</si>
  <si>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</si>
  <si>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</si>
  <si>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</si>
  <si>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</si>
  <si>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</si>
  <si>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</si>
  <si>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</si>
  <si>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</si>
  <si>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</si>
  <si>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</si>
  <si>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</si>
  <si>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</si>
  <si>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</si>
  <si>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</si>
  <si>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</si>
  <si>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</si>
  <si>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</si>
  <si>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</si>
  <si>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</si>
  <si>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</si>
  <si>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</si>
  <si>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</si>
  <si>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</si>
  <si>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</si>
  <si>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</si>
  <si>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</si>
  <si>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</si>
  <si>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</si>
  <si>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</si>
  <si>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</si>
  <si>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</si>
  <si>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</si>
  <si>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</si>
  <si>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</si>
  <si>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</si>
  <si>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</si>
  <si>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</si>
  <si>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</si>
  <si>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</si>
  <si>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</si>
  <si>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</si>
  <si>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</si>
  <si>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</si>
  <si>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</si>
  <si>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</si>
  <si>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</si>
  <si>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</si>
  <si>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</si>
  <si>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</si>
  <si>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</si>
  <si>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</si>
  <si>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</si>
  <si>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</si>
  <si>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</si>
  <si>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</si>
  <si>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</si>
  <si>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</si>
  <si>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</si>
  <si>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</si>
  <si>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</si>
  <si>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</si>
  <si>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</si>
  <si>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</si>
  <si>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</si>
  <si>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</si>
  <si>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</si>
  <si>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</si>
  <si>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</si>
  <si>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</si>
  <si>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</si>
  <si>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</si>
  <si>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</si>
  <si>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</si>
  <si>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</si>
  <si>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</si>
  <si>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</si>
  <si>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</si>
  <si>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</si>
  <si>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</si>
  <si>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</si>
  <si>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</si>
  <si>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</si>
  <si>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</si>
  <si>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</si>
  <si>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</si>
  <si>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</si>
  <si>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</si>
  <si>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</si>
  <si>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</si>
  <si>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</si>
  <si>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</si>
  <si>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</si>
  <si>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</si>
  <si>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</si>
  <si>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</si>
  <si>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</si>
  <si>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</si>
  <si>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</si>
  <si>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</si>
  <si>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</si>
  <si>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</si>
  <si>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</si>
  <si>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</si>
  <si>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</si>
  <si>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</si>
  <si>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</si>
  <si>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</si>
  <si>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</si>
  <si>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</si>
  <si>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</si>
  <si>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</si>
  <si>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</si>
  <si>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</si>
  <si>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</si>
  <si>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</si>
  <si>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</si>
  <si>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</si>
  <si>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</si>
  <si>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</si>
  <si>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</si>
  <si>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</si>
  <si>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</si>
  <si>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</si>
  <si>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</si>
  <si>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</si>
  <si>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</si>
  <si>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</si>
  <si>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</si>
  <si>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</si>
  <si>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</si>
  <si>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</si>
  <si>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</si>
  <si>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</si>
  <si>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</si>
  <si>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</si>
  <si>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</si>
  <si>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</si>
  <si>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</si>
  <si>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</si>
  <si>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</si>
  <si>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</si>
  <si>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</si>
  <si>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</si>
  <si>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</si>
  <si>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</si>
  <si>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</si>
  <si>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</si>
  <si>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</si>
  <si>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</si>
  <si>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</si>
  <si>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</si>
  <si>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</si>
  <si>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</si>
  <si>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</si>
  <si>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</si>
  <si>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</si>
  <si>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</si>
  <si>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</si>
  <si>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</si>
  <si>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</si>
  <si>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</si>
  <si>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</si>
  <si>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</si>
  <si>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</si>
  <si>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</si>
  <si>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</si>
  <si>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</si>
  <si>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</si>
  <si>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</si>
  <si>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</si>
  <si>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</si>
  <si>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</si>
  <si>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</si>
  <si>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</si>
  <si>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</si>
  <si>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</si>
  <si>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</si>
  <si>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</si>
  <si>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</si>
  <si>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</si>
  <si>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</si>
  <si>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</si>
  <si>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</si>
  <si>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</si>
  <si>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</si>
  <si>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</si>
  <si>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</si>
  <si>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</si>
  <si>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</si>
  <si>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</si>
  <si>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</si>
  <si>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</si>
  <si>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</si>
  <si>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</si>
  <si>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</si>
  <si>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</si>
  <si>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</si>
  <si>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</si>
  <si>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</si>
  <si>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</si>
  <si>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</si>
  <si>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</si>
  <si>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</si>
  <si>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</si>
  <si>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</si>
  <si>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</si>
  <si>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</si>
  <si>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</si>
  <si>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</si>
  <si>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</si>
  <si>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</si>
  <si>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</si>
  <si>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</si>
  <si>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</si>
  <si>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</si>
  <si>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</si>
  <si>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</si>
  <si>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</si>
  <si>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</si>
  <si>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</si>
  <si>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</si>
  <si>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</si>
  <si>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</si>
  <si>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</si>
  <si>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</si>
  <si>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</si>
  <si>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</si>
  <si>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</si>
  <si>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</si>
  <si>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</si>
  <si>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</si>
  <si>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</si>
  <si>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</si>
  <si>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</si>
  <si>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</si>
  <si>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</si>
  <si>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</si>
  <si>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</si>
  <si>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</si>
  <si>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</si>
  <si>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</si>
  <si>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</si>
  <si>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</si>
  <si>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</si>
  <si>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</si>
  <si>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</si>
  <si>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</si>
  <si>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</si>
  <si>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</si>
  <si>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</si>
  <si>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</si>
  <si>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</si>
  <si>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</si>
  <si>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</si>
  <si>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</si>
  <si>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</si>
  <si>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</si>
  <si>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</si>
  <si>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</si>
  <si>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</si>
  <si>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</si>
  <si>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</si>
  <si>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</si>
  <si>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</si>
  <si>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</si>
  <si>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</si>
  <si>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</si>
  <si>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</si>
  <si>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</si>
  <si>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</si>
  <si>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</si>
  <si>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</si>
  <si>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</si>
  <si>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</si>
  <si>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</si>
  <si>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</si>
  <si>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</si>
  <si>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</si>
  <si>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</si>
  <si>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</si>
  <si>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</si>
  <si>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</si>
  <si>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</si>
  <si>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</si>
  <si>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</si>
  <si>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</si>
  <si>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</si>
  <si>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</si>
  <si>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</si>
  <si>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</si>
  <si>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</si>
  <si>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</si>
  <si>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</si>
  <si>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</si>
  <si>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</si>
  <si>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</si>
  <si>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</si>
  <si>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</si>
  <si>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</si>
  <si>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</si>
  <si>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</si>
  <si>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</si>
  <si>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</si>
  <si>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</si>
  <si>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</si>
  <si>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</si>
  <si>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</si>
  <si>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</si>
  <si>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</si>
  <si>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</si>
  <si>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</si>
  <si>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</si>
  <si>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</si>
  <si>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</si>
  <si>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</si>
  <si>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</si>
  <si>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</si>
  <si>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</si>
  <si>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</si>
  <si>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</si>
  <si>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</si>
  <si>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</si>
  <si>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</si>
  <si>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</si>
  <si>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</si>
  <si>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</si>
  <si>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</si>
  <si>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</si>
  <si>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</si>
  <si>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</si>
  <si>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</si>
  <si>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</si>
  <si>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</si>
  <si>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</si>
  <si>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</si>
  <si>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</si>
  <si>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</si>
  <si>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</si>
  <si>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</si>
  <si>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</si>
  <si>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</si>
  <si>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</si>
  <si>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</si>
  <si>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</si>
  <si>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</si>
  <si>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</si>
  <si>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</si>
  <si>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</si>
  <si>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</si>
  <si>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</si>
  <si>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</si>
  <si>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</si>
  <si>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</si>
  <si>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</si>
  <si>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</si>
  <si>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</si>
  <si>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</si>
  <si>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</si>
  <si>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</si>
  <si>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</si>
  <si>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</si>
  <si>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</si>
  <si>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</si>
  <si>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</si>
  <si>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</si>
  <si>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</si>
  <si>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</si>
  <si>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</si>
  <si>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</si>
  <si>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</si>
  <si>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</si>
  <si>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</si>
  <si>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</si>
  <si>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</si>
  <si>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</si>
  <si>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</si>
  <si>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</si>
  <si>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</si>
  <si>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</si>
  <si>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</si>
  <si>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</si>
  <si>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</si>
  <si>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</si>
  <si>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</si>
  <si>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</si>
  <si>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</si>
  <si>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</si>
  <si>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</si>
  <si>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</si>
  <si>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</si>
  <si>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</si>
  <si>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</si>
  <si>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</si>
  <si>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</si>
  <si>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</si>
  <si>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</si>
  <si>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</si>
  <si>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</si>
  <si>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</si>
  <si>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</si>
  <si>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</si>
  <si>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</si>
  <si>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</si>
  <si>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</si>
  <si>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</si>
  <si>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</si>
  <si>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</si>
  <si>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</si>
  <si>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</si>
  <si>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</si>
  <si>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</si>
  <si>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</si>
  <si>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</si>
  <si>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</si>
  <si>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</si>
  <si>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</si>
  <si>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</si>
  <si>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</si>
  <si>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</si>
  <si>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</si>
  <si>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</si>
  <si>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</si>
  <si>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</si>
  <si>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</si>
  <si>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</si>
  <si>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</si>
  <si>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</si>
  <si>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</si>
  <si>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</si>
  <si>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</si>
  <si>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</si>
  <si>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</si>
  <si>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</si>
  <si>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</si>
  <si>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</si>
  <si>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</si>
  <si>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</si>
  <si>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</si>
  <si>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</si>
  <si>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</si>
  <si>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</si>
  <si>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</si>
  <si>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</si>
  <si>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</si>
  <si>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</si>
  <si>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</si>
  <si>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</si>
  <si>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</si>
  <si>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</si>
  <si>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</si>
  <si>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</si>
  <si>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</si>
  <si>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</si>
  <si>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</si>
  <si>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</si>
  <si>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</si>
  <si>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</si>
  <si>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</si>
  <si>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</si>
  <si>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</si>
  <si>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</si>
  <si>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</si>
  <si>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</si>
  <si>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</si>
  <si>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</si>
  <si>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</si>
  <si>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</si>
  <si>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</si>
  <si>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</si>
  <si>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</si>
  <si>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</si>
  <si>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</si>
  <si>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</si>
  <si>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</si>
  <si>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</si>
  <si>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</si>
  <si>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</si>
  <si>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</si>
  <si>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</si>
  <si>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</si>
  <si>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</si>
  <si>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</si>
  <si>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</si>
  <si>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</si>
  <si>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</si>
  <si>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</si>
  <si>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</si>
  <si>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</si>
  <si>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</si>
  <si>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</si>
  <si>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</si>
  <si>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</si>
  <si>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</si>
  <si>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</si>
  <si>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</si>
  <si>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</si>
  <si>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</si>
  <si>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</si>
  <si>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</si>
  <si>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</si>
  <si>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</si>
  <si>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</si>
  <si>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</si>
  <si>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</si>
  <si>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</si>
  <si>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</si>
  <si>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</si>
  <si>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</si>
  <si>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</si>
  <si>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</si>
  <si>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</si>
  <si>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</si>
  <si>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</si>
  <si>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</si>
  <si>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</si>
  <si>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</si>
  <si>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</si>
  <si>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</si>
  <si>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</si>
  <si>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</si>
  <si>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</si>
  <si>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</si>
  <si>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</si>
  <si>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</si>
  <si>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</si>
  <si>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</si>
  <si>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</si>
  <si>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</si>
  <si>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</si>
  <si>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</si>
  <si>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</si>
  <si>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</si>
  <si>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</si>
  <si>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</si>
  <si>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</si>
  <si>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</si>
  <si>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</si>
  <si>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</si>
  <si>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</si>
  <si>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</si>
  <si>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</si>
  <si>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</si>
  <si>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</si>
  <si>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</si>
  <si>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</si>
  <si>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</si>
  <si>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</si>
  <si>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</si>
  <si>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</si>
  <si>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</si>
  <si>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</si>
  <si>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</si>
  <si>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</si>
  <si>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</si>
  <si>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</si>
  <si>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</si>
  <si>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</si>
  <si>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</si>
  <si>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</si>
  <si>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</si>
  <si>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</si>
  <si>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</si>
  <si>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</si>
  <si>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</si>
  <si>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</si>
  <si>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</si>
  <si>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</si>
  <si>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</si>
  <si>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</si>
  <si>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</si>
  <si>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</si>
  <si>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</si>
  <si>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</si>
  <si>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</si>
  <si>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</si>
  <si>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</si>
  <si>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</si>
  <si>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</si>
  <si>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</si>
  <si>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</si>
  <si>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</si>
  <si>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</si>
  <si>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</si>
  <si>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</si>
  <si>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</si>
  <si>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</si>
  <si>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</si>
  <si>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</si>
  <si>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</si>
  <si>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</si>
  <si>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</si>
  <si>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</si>
  <si>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</si>
  <si>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</si>
  <si>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</si>
  <si>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</si>
  <si>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</si>
  <si>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</si>
  <si>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</si>
  <si>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</si>
  <si>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</si>
  <si>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</si>
  <si>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</si>
  <si>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</si>
  <si>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</si>
  <si>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</si>
  <si>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</si>
  <si>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</si>
  <si>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</si>
  <si>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</si>
  <si>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</si>
  <si>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</si>
  <si>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</si>
  <si>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</si>
  <si>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</si>
  <si>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</si>
  <si>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</si>
  <si>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</si>
  <si>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</si>
  <si>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</si>
  <si>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</si>
  <si>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</si>
  <si>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</si>
  <si>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</si>
  <si>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</si>
  <si>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</si>
  <si>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</si>
  <si>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</si>
  <si>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</si>
  <si>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</si>
  <si>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</si>
  <si>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</si>
  <si>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</si>
  <si>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</si>
  <si>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</si>
  <si>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</si>
  <si>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</si>
  <si>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</si>
  <si>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</si>
  <si>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</si>
  <si>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</si>
  <si>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</si>
  <si>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</si>
  <si>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</si>
  <si>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</si>
  <si>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</si>
  <si>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</si>
  <si>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</si>
  <si>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</si>
  <si>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</si>
  <si>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</si>
  <si>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</si>
  <si>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</si>
  <si>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</si>
  <si>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</si>
  <si>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</si>
  <si>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</si>
  <si>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</si>
  <si>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</si>
  <si>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</si>
  <si>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</si>
  <si>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</si>
  <si>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</si>
  <si>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</si>
  <si>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</si>
  <si>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</si>
  <si>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</si>
  <si>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</si>
  <si>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</si>
  <si>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</si>
  <si>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</si>
  <si>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</si>
  <si>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</si>
  <si>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</si>
  <si>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</si>
  <si>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</si>
  <si>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</si>
  <si>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</si>
  <si>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</si>
  <si>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</si>
  <si>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</si>
  <si>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</si>
  <si>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</si>
  <si>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</si>
  <si>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</si>
  <si>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</si>
  <si>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</si>
  <si>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</si>
  <si>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</si>
  <si>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</si>
  <si>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</si>
  <si>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</si>
  <si>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</si>
  <si>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</si>
  <si>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</si>
  <si>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</si>
  <si>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</si>
  <si>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</si>
  <si>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</si>
  <si>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</si>
  <si>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</si>
  <si>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</si>
  <si>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</si>
  <si>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</si>
  <si>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</si>
  <si>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</si>
  <si>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</si>
  <si>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</si>
  <si>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</si>
  <si>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</si>
  <si>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</si>
  <si>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</si>
  <si>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</si>
  <si>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</si>
  <si>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</si>
  <si>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</si>
  <si>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</si>
  <si>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</si>
  <si>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</si>
  <si>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</si>
  <si>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</si>
  <si>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</si>
  <si>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</si>
  <si>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</si>
  <si>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</si>
  <si>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</si>
  <si>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</si>
  <si>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</si>
  <si>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</si>
  <si>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</si>
  <si>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</si>
  <si>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</si>
  <si>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</si>
  <si>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</si>
  <si>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</si>
  <si>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</si>
  <si>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</si>
  <si>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</si>
  <si>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</si>
  <si>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</si>
  <si>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</si>
  <si>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</si>
  <si>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</si>
  <si>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</si>
  <si>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</si>
  <si>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</si>
  <si>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</si>
  <si>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</si>
  <si>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</si>
  <si>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</si>
  <si>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</si>
  <si>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</si>
  <si>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</si>
  <si>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</si>
  <si>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</si>
  <si>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</si>
  <si>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</si>
  <si>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</si>
  <si>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</si>
  <si>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</si>
  <si>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</si>
  <si>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</si>
  <si>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</si>
  <si>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</si>
  <si>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</si>
  <si>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</si>
  <si>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</si>
  <si>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</si>
  <si>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</si>
  <si>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</si>
  <si>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</si>
  <si>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</si>
  <si>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</si>
  <si>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</si>
  <si>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</si>
  <si>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</si>
  <si>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</si>
  <si>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</si>
  <si>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</si>
  <si>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</si>
  <si>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</si>
  <si>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</si>
  <si>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</si>
  <si>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</si>
  <si>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</si>
  <si>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</si>
  <si>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</si>
  <si>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</si>
  <si>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</si>
  <si>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</si>
  <si>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</si>
  <si>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</si>
  <si>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</si>
  <si>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</si>
  <si>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</si>
  <si>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</si>
  <si>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</si>
  <si>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</si>
  <si>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</si>
  <si>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</si>
  <si>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</si>
  <si>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</si>
  <si>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</si>
  <si>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</si>
  <si>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</si>
  <si>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</si>
  <si>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</si>
  <si>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</si>
  <si>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</si>
  <si>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</si>
  <si>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</si>
  <si>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</si>
  <si>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</si>
  <si>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</si>
  <si>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</si>
  <si>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</si>
  <si>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</si>
  <si>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</si>
  <si>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</si>
  <si>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</si>
  <si>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</si>
  <si>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</si>
  <si>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</si>
  <si>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</si>
  <si>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</si>
  <si>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</si>
  <si>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</si>
  <si>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</si>
  <si>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</si>
  <si>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</si>
  <si>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</si>
  <si>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</si>
  <si>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</si>
  <si>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</si>
  <si>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</si>
  <si>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</si>
  <si>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</si>
  <si>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</si>
  <si>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</si>
  <si>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</si>
  <si>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</si>
  <si>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</si>
  <si>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</si>
  <si>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</si>
  <si>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</si>
  <si>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</si>
  <si>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</si>
  <si>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</si>
  <si>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</si>
  <si>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</si>
  <si>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</si>
  <si>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</si>
  <si>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</si>
  <si>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</si>
  <si>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</si>
  <si>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</si>
  <si>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</si>
  <si>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</si>
  <si>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</si>
  <si>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</si>
  <si>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</si>
  <si>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</si>
  <si>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</si>
  <si>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</si>
  <si>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</si>
  <si>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</si>
  <si>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</si>
  <si>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</si>
  <si>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</si>
  <si>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</si>
  <si>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</si>
  <si>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</si>
  <si>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</si>
  <si>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</si>
  <si>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</si>
  <si>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</si>
  <si>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</si>
  <si>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</si>
  <si>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</si>
  <si>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</si>
  <si>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</si>
  <si>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</si>
  <si>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</si>
  <si>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</si>
  <si>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</si>
  <si>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</si>
  <si>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</si>
  <si>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</si>
  <si>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</si>
  <si>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</si>
  <si>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</si>
  <si>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</si>
  <si>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</si>
  <si>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</si>
  <si>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</si>
  <si>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</si>
  <si>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</si>
  <si>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</si>
  <si>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</si>
  <si>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</si>
  <si>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</si>
  <si>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</si>
  <si>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</si>
  <si>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</si>
  <si>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</si>
  <si>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</si>
  <si>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</si>
  <si>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</si>
  <si>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</si>
  <si>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</si>
  <si>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</si>
  <si>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</si>
  <si>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</si>
  <si>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</si>
  <si>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</si>
  <si>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</si>
  <si>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</si>
  <si>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</si>
  <si>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</si>
  <si>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</si>
  <si>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</si>
  <si>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</si>
  <si>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</si>
  <si>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</si>
  <si>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</si>
  <si>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</si>
  <si>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</si>
  <si>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</si>
  <si>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</si>
  <si>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</si>
  <si>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</si>
  <si>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</si>
  <si>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</si>
  <si>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</si>
  <si>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</si>
  <si>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</si>
  <si>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</si>
  <si>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</si>
  <si>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</si>
  <si>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</si>
  <si>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</si>
  <si>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</si>
  <si>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</si>
  <si>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</si>
  <si>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</si>
  <si>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</si>
  <si>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</si>
  <si>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</si>
  <si>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</si>
  <si>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</si>
  <si>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</si>
  <si>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</si>
  <si>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</si>
  <si>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</si>
  <si>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</si>
  <si>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</si>
  <si>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</si>
  <si>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</si>
  <si>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</si>
  <si>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</si>
  <si>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</si>
  <si>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</si>
  <si>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</si>
  <si>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</si>
  <si>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</si>
  <si>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</si>
  <si>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</si>
  <si>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</si>
  <si>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</si>
  <si>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</si>
  <si>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</si>
  <si>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</si>
  <si>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</si>
  <si>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</si>
  <si>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</si>
  <si>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</si>
  <si>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</si>
  <si>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</si>
  <si>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</si>
  <si>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</si>
  <si>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</si>
  <si>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</si>
  <si>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</si>
  <si>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</si>
  <si>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</si>
  <si>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</si>
  <si>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</si>
  <si>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</si>
  <si>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</si>
  <si>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</si>
  <si>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</si>
  <si>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</si>
  <si>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</si>
  <si>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</si>
  <si>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</si>
  <si>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</si>
  <si>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</si>
  <si>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</si>
  <si>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</si>
  <si>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</si>
  <si>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</si>
  <si>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</si>
  <si>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</si>
  <si>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</si>
  <si>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</si>
  <si>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</si>
  <si>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</si>
  <si>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</si>
  <si>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</si>
  <si>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</si>
  <si>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</si>
  <si>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</si>
  <si>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</si>
  <si>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</si>
  <si>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</si>
  <si>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</si>
  <si>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</si>
  <si>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</si>
  <si>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</si>
  <si>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</si>
  <si>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</si>
  <si>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</si>
  <si>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</si>
  <si>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</si>
  <si>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</si>
  <si>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</si>
  <si>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</si>
  <si>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</si>
  <si>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</si>
  <si>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</si>
  <si>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</si>
  <si>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</si>
  <si>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</si>
  <si>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</si>
  <si>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</si>
  <si>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</si>
  <si>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</si>
  <si>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</si>
  <si>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</si>
  <si>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</si>
  <si>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</si>
  <si>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</si>
  <si>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</si>
  <si>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</si>
  <si>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</si>
  <si>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</si>
  <si>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</si>
  <si>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</si>
  <si>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</si>
  <si>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</si>
  <si>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</si>
  <si>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</si>
  <si>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</si>
  <si>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</si>
  <si>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</si>
  <si>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</si>
  <si>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</si>
  <si>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</si>
  <si>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</si>
  <si>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</si>
  <si>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</si>
  <si>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</si>
  <si>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</si>
  <si>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</si>
  <si>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</si>
  <si>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</si>
  <si>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</si>
  <si>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</si>
  <si>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</si>
  <si>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</si>
  <si>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</si>
  <si>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</si>
  <si>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</si>
  <si>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</si>
  <si>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</si>
  <si>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</si>
  <si>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</si>
  <si>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</si>
  <si>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</si>
  <si>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</si>
  <si>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</si>
  <si>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</si>
  <si>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</si>
  <si>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</si>
  <si>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</si>
  <si>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</si>
  <si>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</si>
  <si>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</si>
  <si>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</si>
  <si>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</si>
  <si>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</si>
  <si>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</si>
  <si>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</si>
  <si>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</si>
  <si>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</si>
  <si>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</si>
  <si>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</si>
  <si>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</si>
  <si>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</si>
  <si>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</si>
  <si>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</si>
  <si>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</si>
  <si>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</si>
  <si>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</si>
  <si>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</si>
  <si>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</si>
  <si>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</si>
  <si>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</si>
  <si>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</si>
  <si>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</si>
  <si>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</si>
  <si>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</si>
  <si>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</si>
  <si>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</si>
  <si>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</si>
  <si>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</si>
  <si>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</si>
  <si>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</si>
  <si>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</si>
  <si>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</si>
  <si>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</si>
  <si>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</si>
  <si>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</si>
  <si>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</si>
  <si>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</si>
  <si>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</si>
  <si>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</si>
  <si>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</si>
  <si>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</si>
  <si>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</si>
  <si>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</si>
  <si>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</si>
  <si>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</si>
  <si>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</si>
  <si>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</si>
  <si>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</si>
  <si>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</si>
  <si>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</si>
  <si>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</si>
  <si>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</si>
  <si>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</si>
  <si>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</si>
  <si>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</si>
  <si>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</si>
  <si>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</si>
  <si>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</si>
  <si>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</si>
  <si>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</si>
  <si>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</si>
  <si>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</si>
  <si>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</si>
  <si>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</si>
  <si>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</si>
  <si>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</si>
  <si>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</si>
  <si>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</si>
  <si>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</si>
  <si>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</si>
  <si>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</si>
  <si>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</si>
  <si>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</si>
  <si>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</si>
  <si>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</si>
  <si>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</si>
  <si>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</si>
  <si>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</si>
  <si>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</si>
  <si>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</si>
  <si>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</si>
  <si>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</si>
  <si>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</si>
  <si>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</si>
  <si>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</si>
  <si>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</si>
  <si>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</si>
  <si>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</si>
  <si>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</si>
  <si>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</si>
  <si>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</si>
  <si>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</si>
  <si>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</si>
  <si>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</si>
  <si>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</si>
  <si>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</si>
  <si>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</si>
  <si>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</si>
  <si>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</si>
  <si>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</si>
  <si>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</si>
  <si>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</si>
  <si>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</si>
  <si>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</si>
  <si>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</si>
  <si>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</si>
  <si>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</si>
  <si>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</si>
  <si>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</si>
  <si>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</si>
  <si>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</si>
  <si>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</si>
  <si>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</si>
  <si>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</si>
  <si>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</si>
  <si>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</si>
  <si>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</si>
  <si>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</si>
  <si>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</si>
  <si>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</si>
  <si>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</si>
  <si>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</si>
  <si>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</si>
  <si>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</si>
  <si>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</si>
  <si>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</si>
  <si>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</si>
  <si>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</si>
  <si>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</si>
  <si>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</si>
  <si>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</si>
  <si>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</si>
  <si>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</si>
  <si>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</si>
  <si>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</si>
  <si>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</si>
  <si>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</si>
  <si>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</si>
  <si>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</si>
  <si>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</si>
  <si>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</si>
  <si>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</si>
  <si>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</si>
  <si>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</si>
  <si>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</si>
  <si>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</si>
  <si>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</si>
  <si>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</si>
  <si>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</si>
  <si>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</si>
  <si>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</si>
  <si>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</si>
  <si>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</si>
  <si>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</si>
  <si>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</si>
  <si>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</si>
  <si>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</si>
  <si>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</si>
  <si>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</si>
  <si>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</si>
  <si>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</si>
  <si>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</si>
  <si>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</si>
  <si>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</si>
  <si>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</si>
  <si>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</si>
  <si>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</si>
  <si>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</si>
  <si>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</si>
  <si>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</si>
  <si>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</si>
  <si>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</si>
  <si>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</si>
  <si>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</si>
  <si>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</si>
  <si>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</si>
  <si>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</si>
  <si>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</si>
  <si>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</si>
  <si>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</si>
  <si>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</si>
  <si>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</si>
  <si>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</si>
  <si>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</si>
  <si>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</si>
  <si>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</si>
  <si>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</si>
  <si>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</si>
  <si>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</si>
  <si>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</si>
  <si>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</si>
  <si>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</si>
  <si>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</si>
  <si>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</si>
  <si>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</si>
  <si>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</si>
  <si>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</si>
  <si>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</si>
  <si>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</si>
  <si>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</si>
  <si>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</si>
  <si>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</si>
  <si>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</si>
  <si>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</si>
  <si>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</si>
  <si>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</si>
  <si>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</si>
  <si>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</si>
  <si>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</si>
  <si>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</si>
  <si>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</si>
  <si>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</si>
  <si>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</si>
  <si>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</si>
  <si>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</si>
  <si>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</si>
  <si>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</si>
  <si>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</si>
  <si>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</si>
  <si>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</si>
  <si>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</si>
  <si>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</si>
  <si>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</si>
  <si>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</si>
  <si>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</si>
  <si>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</si>
  <si>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</si>
  <si>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</si>
  <si>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</si>
  <si>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</si>
  <si>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</si>
  <si>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</si>
  <si>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</si>
  <si>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</si>
  <si>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</si>
  <si>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</si>
  <si>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</si>
  <si>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</si>
  <si>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</si>
  <si>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</si>
  <si>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</si>
  <si>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</si>
  <si>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</si>
  <si>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</si>
  <si>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</si>
  <si>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</si>
  <si>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</si>
  <si>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</si>
  <si>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</si>
  <si>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</si>
  <si>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</si>
  <si>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</si>
  <si>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</si>
  <si>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</si>
  <si>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</si>
  <si>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</si>
  <si>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</si>
  <si>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</si>
  <si>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</si>
  <si>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</si>
  <si>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</si>
  <si>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</si>
  <si>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</si>
  <si>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</si>
  <si>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</si>
  <si>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</si>
  <si>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</si>
  <si>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</si>
  <si>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</si>
  <si>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</si>
  <si>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</si>
  <si>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</si>
  <si>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</si>
  <si>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</si>
  <si>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</si>
  <si>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</si>
  <si>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</si>
  <si>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</si>
  <si>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</si>
  <si>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</si>
  <si>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</si>
  <si>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</si>
  <si>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</si>
  <si>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</si>
  <si>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</si>
  <si>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</si>
  <si>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</si>
  <si>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</si>
  <si>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</si>
  <si>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</si>
  <si>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</si>
  <si>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</si>
  <si>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</si>
  <si>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</si>
  <si>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</si>
  <si>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</si>
  <si>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</si>
  <si>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</si>
  <si>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</si>
  <si>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</si>
  <si>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</si>
  <si>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</si>
  <si>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</si>
  <si>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</si>
  <si>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</si>
  <si>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</si>
  <si>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</si>
  <si>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</si>
  <si>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</si>
  <si>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</si>
  <si>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</si>
  <si>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</si>
  <si>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</si>
  <si>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</si>
  <si>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</si>
  <si>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</si>
  <si>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</si>
  <si>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</si>
  <si>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</si>
  <si>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</si>
  <si>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</si>
  <si>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</si>
  <si>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</si>
  <si>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</si>
  <si>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</si>
  <si>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</si>
  <si>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</si>
  <si>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</si>
  <si>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</si>
  <si>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</si>
  <si>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</si>
  <si>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</si>
  <si>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</si>
  <si>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</si>
  <si>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</si>
  <si>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</si>
  <si>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</si>
  <si>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</si>
  <si>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</si>
  <si>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</si>
  <si>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</si>
  <si>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</si>
  <si>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</si>
  <si>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</si>
  <si>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</si>
  <si>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</si>
  <si>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</si>
  <si>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</si>
  <si>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</si>
  <si>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</si>
  <si>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</si>
  <si>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</si>
  <si>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</si>
  <si>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</si>
  <si>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</si>
  <si>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</si>
  <si>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</si>
  <si>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</si>
  <si>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</si>
  <si>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</si>
  <si>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</si>
  <si>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</si>
  <si>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</si>
  <si>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</si>
  <si>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</si>
  <si>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</si>
  <si>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</si>
  <si>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</si>
  <si>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</si>
  <si>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</si>
  <si>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</si>
  <si>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</si>
  <si>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</si>
  <si>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</si>
  <si>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</si>
  <si>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</si>
  <si>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</si>
  <si>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</si>
  <si>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</si>
  <si>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</si>
  <si>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</si>
  <si>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</si>
  <si>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</si>
  <si>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</si>
  <si>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</si>
  <si>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</si>
  <si>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</si>
  <si>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</si>
  <si>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</si>
  <si>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</si>
  <si>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</si>
  <si>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</si>
  <si>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</si>
  <si>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</si>
  <si>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</si>
  <si>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</si>
  <si>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</si>
  <si>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</si>
  <si>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</si>
  <si>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</si>
  <si>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</si>
  <si>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</si>
  <si>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</si>
  <si>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</si>
  <si>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</si>
  <si>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</si>
  <si>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</si>
  <si>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</si>
  <si>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</si>
  <si>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</si>
  <si>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</si>
  <si>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</si>
  <si>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</si>
  <si>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</si>
  <si>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</si>
  <si>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</si>
  <si>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</si>
  <si>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</si>
  <si>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</si>
  <si>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</si>
  <si>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</si>
  <si>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</si>
  <si>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</si>
  <si>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</si>
  <si>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</si>
  <si>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</si>
  <si>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</si>
  <si>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</si>
  <si>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</si>
  <si>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</si>
  <si>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</si>
  <si>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</si>
  <si>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</si>
  <si>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</si>
  <si>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</si>
  <si>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</si>
  <si>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</si>
  <si>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</si>
  <si>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</si>
  <si>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</si>
  <si>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</si>
  <si>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</si>
  <si>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</si>
  <si>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</si>
  <si>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</si>
  <si>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</si>
  <si>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</si>
  <si>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</si>
  <si>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</si>
  <si>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</si>
  <si>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</si>
  <si>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</si>
  <si>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</si>
  <si>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</si>
  <si>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</si>
  <si>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</si>
  <si>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</si>
  <si>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</si>
  <si>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</si>
  <si>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</si>
  <si>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</si>
  <si>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</si>
  <si>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</si>
  <si>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</si>
  <si>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</si>
  <si>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</si>
  <si>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</si>
  <si>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</si>
  <si>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</si>
  <si>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</si>
  <si>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</si>
  <si>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</si>
  <si>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</si>
  <si>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</si>
  <si>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</si>
  <si>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</si>
  <si>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</si>
  <si>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</si>
  <si>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</si>
  <si>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</si>
  <si>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</si>
  <si>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</si>
  <si>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</si>
  <si>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</si>
  <si>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</si>
  <si>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</si>
  <si>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</si>
  <si>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</si>
  <si>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</si>
  <si>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</si>
  <si>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</si>
  <si>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</si>
  <si>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</si>
  <si>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</si>
  <si>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</si>
  <si>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</si>
  <si>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</si>
  <si>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</si>
  <si>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</si>
  <si>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</si>
  <si>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</si>
  <si>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</si>
  <si>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</si>
  <si>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</si>
  <si>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</si>
  <si>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</si>
  <si>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</si>
  <si>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</si>
  <si>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</si>
  <si>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</si>
  <si>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</si>
  <si>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</si>
  <si>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</si>
  <si>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</si>
  <si>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</si>
  <si>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</si>
  <si>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</si>
  <si>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</si>
  <si>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</si>
  <si>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</si>
  <si>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</si>
  <si>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</si>
  <si>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</si>
  <si>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</si>
  <si>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</si>
  <si>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</si>
  <si>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</si>
  <si>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</si>
  <si>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</si>
  <si>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</si>
  <si>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</si>
  <si>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</si>
  <si>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</si>
  <si>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</si>
  <si>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</si>
  <si>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</si>
  <si>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</si>
  <si>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</si>
  <si>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</si>
  <si>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</si>
  <si>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</si>
  <si>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</si>
  <si>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</si>
  <si>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</si>
  <si>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</si>
  <si>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</si>
  <si>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</si>
  <si>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</si>
  <si>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</si>
  <si>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</si>
  <si>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</si>
  <si>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</si>
  <si>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</si>
  <si>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</si>
  <si>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</si>
  <si>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</si>
  <si>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</si>
  <si>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</si>
  <si>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</si>
  <si>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</si>
  <si>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</si>
  <si>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</si>
  <si>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</si>
  <si>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</si>
  <si>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</si>
  <si>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</si>
  <si>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</si>
  <si>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</si>
  <si>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</si>
  <si>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</si>
  <si>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</si>
  <si>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</si>
  <si>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</si>
  <si>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</si>
  <si>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</si>
  <si>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</si>
  <si>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</si>
  <si>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</si>
  <si>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</si>
  <si>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</si>
  <si>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</si>
  <si>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</si>
  <si>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</si>
  <si>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</si>
  <si>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</si>
  <si>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</si>
  <si>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</si>
  <si>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</si>
  <si>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</si>
  <si>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</si>
  <si>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</si>
  <si>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</si>
  <si>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</si>
  <si>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</si>
  <si>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</si>
  <si>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</si>
  <si>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</si>
  <si>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</si>
  <si>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</si>
  <si>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</si>
  <si>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</si>
  <si>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</si>
  <si>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</si>
  <si>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</si>
  <si>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</si>
  <si>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</si>
  <si>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</si>
  <si>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</si>
  <si>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</si>
  <si>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</si>
  <si>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</si>
  <si>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</si>
  <si>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</si>
  <si>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</si>
  <si>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</si>
  <si>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</si>
  <si>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</si>
  <si>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</si>
  <si>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</si>
  <si>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</si>
  <si>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</si>
  <si>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</si>
  <si>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</si>
  <si>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</si>
  <si>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</si>
  <si>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</si>
  <si>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</si>
  <si>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</si>
  <si>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</si>
  <si>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</si>
  <si>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</si>
  <si>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</si>
  <si>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</si>
  <si>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</si>
  <si>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</si>
  <si>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</si>
  <si>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</si>
  <si>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</si>
  <si>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</si>
  <si>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</si>
  <si>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</si>
  <si>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</si>
  <si>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</si>
  <si>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</si>
  <si>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</si>
  <si>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</si>
  <si>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</si>
  <si>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</si>
  <si>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</si>
  <si>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</si>
  <si>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</si>
  <si>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</si>
  <si>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</si>
  <si>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</si>
  <si>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</si>
  <si>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</si>
  <si>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</si>
  <si>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</si>
  <si>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</si>
  <si>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</si>
  <si>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</si>
  <si>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</si>
  <si>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</si>
  <si>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</si>
  <si>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</si>
  <si>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</si>
  <si>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</si>
  <si>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</si>
  <si>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</si>
  <si>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</si>
  <si>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</si>
  <si>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</si>
  <si>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</si>
  <si>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</si>
  <si>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</si>
  <si>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</si>
  <si>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</si>
  <si>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</si>
  <si>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</si>
  <si>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</si>
  <si>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</si>
  <si>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</si>
  <si>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</si>
  <si>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</si>
  <si>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</si>
  <si>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</si>
  <si>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</si>
  <si>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</si>
  <si>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</si>
  <si>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</si>
  <si>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</si>
  <si>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</si>
  <si>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</si>
  <si>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</si>
  <si>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</si>
  <si>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</si>
  <si>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</si>
  <si>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</si>
  <si>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</si>
  <si>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</si>
  <si>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</si>
  <si>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</si>
  <si>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</si>
  <si>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</si>
  <si>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</si>
  <si>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</si>
  <si>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</si>
  <si>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</si>
  <si>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</si>
  <si>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</si>
  <si>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</si>
  <si>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</si>
  <si>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</si>
  <si>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</si>
  <si>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</si>
  <si>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</si>
  <si>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</si>
  <si>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</si>
  <si>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</si>
  <si>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</si>
  <si>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</si>
  <si>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</si>
  <si>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</si>
  <si>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</si>
  <si>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</si>
  <si>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</si>
  <si>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</si>
  <si>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</si>
  <si>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</si>
  <si>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</si>
  <si>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</si>
  <si>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</si>
  <si>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</si>
  <si>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</si>
  <si>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</si>
  <si>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</si>
  <si>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</si>
  <si>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</si>
  <si>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</si>
  <si>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</si>
  <si>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</si>
  <si>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</si>
  <si>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</si>
  <si>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</si>
  <si>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</si>
  <si>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</si>
  <si>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</si>
  <si>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</si>
  <si>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</si>
  <si>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</si>
  <si>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</si>
  <si>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</si>
  <si>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</si>
  <si>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</si>
  <si>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</si>
  <si>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</si>
  <si>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</si>
  <si>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</si>
  <si>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</si>
  <si>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</si>
  <si>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</si>
  <si>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</si>
  <si>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</si>
  <si>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</si>
  <si>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</si>
  <si>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</si>
  <si>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</si>
  <si>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</si>
  <si>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</si>
  <si>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</si>
  <si>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</si>
  <si>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</si>
  <si>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</si>
  <si>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</si>
  <si>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</si>
  <si>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</si>
  <si>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</si>
  <si>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</si>
  <si>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</si>
  <si>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</si>
  <si>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</si>
  <si>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</si>
  <si>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</si>
  <si>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</si>
  <si>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</si>
  <si>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</si>
  <si>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</si>
  <si>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</si>
  <si>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</si>
  <si>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</si>
  <si>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</si>
  <si>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</si>
  <si>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</si>
  <si>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</si>
  <si>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</si>
  <si>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</si>
  <si>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</si>
  <si>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</si>
  <si>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</si>
  <si>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</si>
  <si>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</si>
  <si>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</si>
  <si>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</si>
  <si>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</si>
  <si>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</si>
  <si>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</si>
  <si>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</si>
  <si>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</si>
  <si>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</si>
  <si>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</si>
  <si>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</si>
  <si>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</si>
  <si>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</si>
  <si>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</si>
  <si>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</si>
  <si>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</si>
  <si>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</si>
  <si>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</si>
  <si>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</si>
  <si>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</si>
  <si>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</si>
  <si>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</si>
  <si>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</si>
  <si>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</si>
  <si>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</si>
  <si>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</si>
  <si>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</si>
  <si>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</si>
  <si>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</si>
  <si>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</si>
  <si>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</si>
  <si>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</si>
  <si>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</si>
  <si>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</si>
  <si>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</si>
  <si>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</si>
  <si>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</si>
  <si>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</si>
  <si>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</si>
  <si>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</si>
  <si>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</si>
  <si>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</si>
  <si>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</si>
  <si>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</si>
  <si>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</si>
  <si>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</si>
  <si>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</si>
  <si>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</si>
  <si>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</si>
  <si>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</si>
  <si>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</si>
  <si>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</si>
  <si>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</si>
  <si>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</si>
  <si>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</si>
  <si>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</si>
  <si>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</si>
  <si>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</si>
  <si>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</si>
  <si>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</si>
  <si>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</si>
  <si>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</si>
  <si>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</si>
  <si>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</si>
  <si>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</si>
  <si>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</si>
  <si>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</si>
  <si>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</si>
  <si>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</si>
  <si>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</si>
  <si>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</si>
  <si>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</si>
  <si>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</si>
  <si>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</si>
  <si>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</si>
  <si>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</si>
  <si>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</si>
  <si>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</si>
  <si>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</si>
  <si>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</si>
  <si>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</si>
  <si>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</si>
  <si>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</si>
  <si>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</si>
  <si>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</si>
  <si>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</si>
  <si>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</si>
  <si>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</si>
  <si>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</si>
  <si>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</si>
  <si>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</si>
  <si>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</si>
  <si>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</si>
  <si>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</si>
  <si>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</si>
  <si>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</si>
  <si>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</si>
  <si>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</si>
  <si>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</si>
  <si>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</si>
  <si>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</si>
  <si>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</si>
  <si>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</si>
  <si>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</si>
  <si>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</si>
  <si>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</si>
  <si>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</si>
  <si>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</si>
  <si>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</si>
  <si>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</si>
  <si>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</si>
  <si>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</si>
  <si>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</si>
  <si>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</si>
  <si>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</si>
  <si>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</si>
  <si>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</si>
  <si>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</si>
  <si>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</si>
  <si>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</si>
  <si>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</si>
  <si>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</si>
  <si>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</si>
  <si>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</si>
  <si>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</si>
  <si>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</si>
  <si>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</si>
  <si>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</si>
  <si>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</si>
  <si>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</si>
  <si>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</si>
  <si>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</si>
  <si>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</si>
  <si>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</si>
  <si>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</si>
  <si>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</si>
  <si>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</si>
  <si>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</si>
  <si>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</si>
  <si>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</si>
  <si>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</si>
  <si>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</si>
  <si>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</si>
  <si>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</si>
  <si>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</si>
  <si>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</si>
  <si>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</si>
  <si>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</si>
  <si>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</si>
  <si>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</si>
  <si>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</si>
  <si>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</si>
  <si>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</si>
  <si>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</si>
  <si>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</si>
  <si>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</si>
  <si>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</si>
  <si>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</si>
  <si>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</si>
  <si>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</si>
  <si>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</si>
  <si>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</si>
  <si>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</si>
  <si>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</si>
  <si>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</si>
  <si>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</si>
  <si>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</si>
  <si>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</si>
  <si>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</si>
  <si>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</si>
  <si>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</si>
  <si>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</si>
  <si>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</si>
  <si>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</si>
  <si>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</si>
  <si>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</si>
  <si>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</si>
  <si>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</si>
  <si>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</si>
  <si>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</si>
  <si>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</si>
  <si>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</si>
  <si>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</si>
  <si>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</si>
  <si>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</si>
  <si>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</si>
  <si>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</si>
  <si>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</si>
  <si>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</si>
  <si>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</si>
  <si>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</si>
  <si>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</si>
  <si>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</si>
  <si>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</si>
  <si>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</si>
  <si>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</si>
  <si>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</si>
  <si>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</si>
  <si>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</si>
  <si>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</si>
  <si>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</si>
  <si>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</si>
  <si>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</si>
  <si>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</si>
  <si>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</si>
  <si>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</si>
  <si>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</si>
  <si>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</si>
  <si>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</si>
  <si>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</si>
  <si>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</si>
  <si>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</si>
  <si>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</si>
  <si>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</si>
  <si>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</si>
  <si>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</si>
  <si>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</si>
  <si>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</si>
  <si>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</si>
  <si>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</si>
  <si>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</si>
  <si>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</si>
  <si>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</si>
  <si>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</si>
  <si>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</si>
  <si>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</si>
  <si>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</si>
  <si>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</si>
  <si>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</si>
  <si>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</si>
  <si>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</si>
  <si>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</si>
  <si>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</si>
  <si>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</si>
  <si>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</si>
  <si>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</si>
  <si>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</si>
  <si>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</si>
  <si>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</si>
  <si>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</si>
  <si>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</si>
  <si>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</si>
  <si>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</si>
  <si>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</si>
  <si>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</si>
  <si>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</si>
  <si>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</si>
  <si>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</si>
  <si>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</si>
  <si>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</si>
  <si>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</si>
  <si>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</si>
  <si>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</si>
  <si>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</si>
  <si>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</si>
  <si>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</si>
  <si>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</si>
  <si>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</si>
  <si>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</si>
  <si>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</si>
  <si>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</si>
  <si>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</si>
  <si>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</si>
  <si>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</si>
  <si>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</si>
  <si>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</si>
  <si>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</si>
  <si>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</si>
  <si>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</si>
  <si>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</si>
  <si>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</si>
  <si>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</si>
  <si>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</si>
  <si>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</si>
  <si>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</si>
  <si>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</si>
  <si>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</si>
  <si>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</si>
  <si>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</si>
  <si>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</si>
  <si>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</si>
  <si>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</si>
  <si>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</si>
  <si>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</si>
  <si>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</si>
  <si>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</si>
  <si>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</si>
  <si>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</si>
  <si>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</si>
  <si>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</si>
  <si>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</si>
  <si>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</si>
  <si>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</si>
  <si>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</si>
  <si>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</si>
  <si>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</si>
  <si>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</si>
  <si>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</si>
  <si>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</si>
  <si>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</si>
  <si>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</si>
  <si>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</si>
  <si>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</si>
  <si>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</si>
  <si>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</si>
  <si>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</si>
  <si>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</si>
  <si>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</si>
  <si>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</si>
  <si>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</si>
  <si>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</si>
  <si>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</si>
  <si>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</si>
  <si>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</si>
  <si>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</si>
  <si>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</si>
  <si>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</si>
  <si>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</si>
  <si>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</si>
  <si>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</si>
  <si>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</si>
  <si>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</si>
  <si>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</si>
  <si>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</si>
  <si>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</si>
  <si>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</si>
  <si>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</si>
  <si>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</si>
  <si>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</si>
  <si>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</si>
  <si>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</si>
  <si>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</si>
  <si>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</si>
  <si>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</si>
  <si>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</si>
  <si>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</si>
  <si>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</si>
  <si>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</si>
  <si>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</si>
  <si>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</si>
  <si>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</si>
  <si>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</si>
  <si>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</si>
  <si>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</si>
  <si>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</si>
  <si>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</si>
  <si>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</si>
  <si>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</si>
  <si>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</si>
  <si>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</si>
  <si>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</si>
  <si>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</si>
  <si>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</si>
  <si>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</si>
  <si>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</si>
  <si>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</si>
  <si>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</si>
  <si>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</si>
  <si>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</si>
  <si>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</si>
  <si>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</si>
  <si>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</si>
  <si>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</si>
  <si>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</si>
  <si>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</si>
  <si>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</si>
  <si>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</si>
  <si>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</si>
  <si>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</si>
  <si>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</si>
  <si>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</si>
  <si>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</si>
  <si>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</si>
  <si>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</si>
  <si>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</si>
  <si>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</si>
  <si>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</si>
  <si>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</si>
  <si>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</si>
  <si>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</si>
  <si>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</si>
  <si>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</si>
  <si>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</si>
  <si>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</si>
  <si>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</si>
  <si>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</si>
  <si>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</si>
  <si>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</si>
  <si>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</si>
  <si>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</si>
  <si>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</si>
  <si>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</si>
  <si>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</si>
  <si>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</si>
  <si>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</si>
  <si>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</si>
  <si>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</si>
  <si>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</si>
  <si>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</si>
  <si>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</si>
  <si>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</si>
  <si>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</si>
  <si>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</si>
  <si>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</si>
  <si>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</si>
  <si>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</si>
  <si>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</si>
  <si>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</si>
  <si>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</si>
  <si>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</si>
  <si>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</si>
  <si>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</si>
  <si>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</si>
  <si>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</si>
  <si>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</si>
  <si>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</si>
  <si>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</si>
  <si>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</si>
  <si>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</si>
  <si>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</si>
  <si>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</si>
  <si>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</si>
  <si>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</si>
  <si>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</si>
  <si>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</si>
  <si>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</si>
  <si>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</si>
  <si>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</si>
  <si>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</si>
  <si>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</si>
  <si>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</si>
  <si>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</si>
  <si>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</si>
  <si>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</si>
  <si>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</si>
  <si>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</si>
  <si>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</si>
  <si>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</si>
  <si>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</si>
  <si>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</si>
  <si>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</si>
  <si>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</si>
  <si>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</si>
  <si>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</si>
  <si>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</si>
  <si>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</si>
  <si>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</si>
  <si>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</si>
  <si>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</si>
  <si>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</si>
  <si>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</si>
  <si>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</si>
  <si>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</si>
  <si>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</si>
  <si>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</si>
  <si>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</si>
  <si>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</si>
  <si>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</si>
  <si>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</si>
  <si>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</si>
  <si>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</si>
  <si>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</si>
  <si>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</si>
  <si>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</si>
  <si>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</si>
  <si>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</si>
  <si>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</si>
  <si>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</si>
  <si>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</si>
  <si>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</si>
  <si>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</si>
  <si>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</si>
  <si>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</si>
  <si>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</si>
  <si>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</si>
  <si>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</si>
  <si>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</si>
  <si>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</si>
  <si>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</si>
  <si>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</si>
  <si>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</si>
  <si>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</si>
  <si>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</si>
  <si>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</si>
  <si>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</si>
  <si>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</si>
  <si>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</si>
  <si>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</si>
  <si>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</si>
  <si>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</si>
  <si>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</si>
  <si>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</si>
  <si>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</si>
  <si>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</si>
  <si>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</si>
  <si>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</si>
  <si>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</si>
  <si>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</si>
  <si>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</si>
  <si>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</si>
  <si>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</si>
  <si>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</si>
  <si>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</si>
  <si>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</si>
  <si>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</si>
  <si>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</si>
  <si>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</si>
  <si>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</si>
  <si>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</si>
  <si>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</si>
  <si>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</si>
  <si>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</si>
  <si>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</si>
  <si>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</si>
  <si>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</si>
  <si>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</si>
  <si>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</si>
  <si>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</si>
  <si>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</si>
  <si>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</si>
  <si>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</si>
  <si>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</si>
  <si>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</si>
  <si>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</si>
  <si>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</si>
  <si>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</si>
  <si>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</si>
  <si>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</si>
  <si>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</si>
  <si>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</si>
  <si>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</si>
  <si>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</si>
  <si>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</si>
  <si>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</si>
  <si>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</si>
  <si>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</si>
  <si>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</si>
  <si>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</si>
  <si>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</si>
  <si>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</si>
  <si>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</si>
  <si>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</si>
  <si>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</si>
  <si>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</si>
  <si>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</si>
  <si>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</si>
  <si>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</si>
  <si>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</si>
  <si>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</si>
  <si>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</si>
  <si>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</si>
  <si>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</si>
  <si>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</si>
  <si>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</si>
  <si>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</si>
  <si>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</si>
  <si>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</si>
  <si>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</si>
  <si>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</si>
  <si>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</si>
  <si>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</si>
  <si>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</si>
  <si>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</si>
  <si>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</si>
  <si>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</si>
  <si>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</si>
  <si>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</si>
  <si>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</si>
  <si>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</si>
  <si>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</si>
  <si>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</si>
  <si>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</si>
  <si>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</si>
  <si>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</si>
  <si>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</si>
  <si>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</si>
  <si>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</si>
  <si>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</si>
  <si>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</si>
  <si>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</si>
  <si>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</si>
  <si>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</si>
  <si>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</si>
  <si>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</si>
  <si>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</si>
  <si>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</si>
  <si>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</si>
  <si>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</si>
  <si>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</si>
  <si>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</si>
  <si>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</si>
  <si>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</si>
  <si>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</si>
  <si>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</si>
  <si>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</si>
  <si>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</si>
  <si>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</si>
  <si>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</si>
  <si>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</si>
  <si>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</si>
  <si>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</si>
  <si>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</si>
  <si>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</si>
  <si>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</si>
  <si>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</si>
  <si>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</si>
  <si>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</si>
  <si>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</si>
  <si>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</si>
  <si>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</si>
  <si>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</si>
  <si>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</si>
  <si>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</si>
  <si>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</si>
  <si>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</si>
  <si>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</si>
  <si>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</si>
  <si>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</si>
  <si>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</si>
  <si>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</si>
  <si>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</si>
  <si>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</si>
  <si>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</si>
  <si>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</si>
  <si>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</si>
  <si>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</si>
  <si>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</si>
  <si>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</si>
  <si>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</si>
  <si>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</si>
  <si>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</si>
  <si>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</si>
  <si>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</si>
  <si>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</si>
  <si>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</si>
  <si>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</si>
  <si>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</si>
  <si>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</si>
  <si>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</si>
  <si>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</si>
  <si>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</si>
  <si>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</si>
  <si>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</si>
  <si>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</si>
  <si>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</si>
  <si>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</si>
  <si>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</si>
  <si>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</si>
  <si>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</si>
  <si>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</si>
  <si>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</si>
  <si>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</si>
  <si>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</si>
  <si>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</si>
  <si>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</si>
  <si>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</si>
  <si>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</si>
  <si>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</si>
  <si>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</si>
  <si>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</si>
  <si>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</si>
  <si>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</si>
  <si>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</si>
  <si>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</si>
  <si>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</si>
  <si>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</si>
  <si>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</si>
  <si>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</si>
  <si>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</si>
  <si>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</si>
  <si>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</si>
  <si>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</si>
  <si>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</si>
  <si>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</si>
  <si>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</si>
  <si>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</si>
  <si>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</si>
  <si>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</si>
  <si>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</si>
  <si>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</si>
  <si>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</si>
  <si>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</si>
  <si>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</si>
  <si>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</si>
  <si>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</si>
  <si>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</si>
  <si>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</si>
  <si>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</si>
  <si>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</si>
  <si>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</si>
  <si>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</si>
  <si>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</si>
  <si>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</si>
  <si>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</si>
  <si>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</si>
  <si>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</si>
  <si>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</si>
  <si>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</si>
  <si>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</si>
  <si>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</si>
  <si>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</si>
  <si>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</si>
  <si>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</si>
  <si>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</si>
  <si>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</si>
  <si>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</si>
  <si>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</si>
  <si>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</si>
  <si>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</si>
  <si>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</si>
  <si>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</si>
  <si>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</si>
  <si>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</si>
  <si>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</si>
  <si>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</si>
  <si>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</si>
  <si>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</si>
  <si>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</si>
  <si>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</si>
  <si>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</si>
  <si>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</si>
  <si>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</si>
  <si>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</si>
  <si>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</si>
  <si>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</si>
  <si>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</si>
  <si>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</si>
  <si>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</si>
  <si>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</si>
  <si>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</si>
  <si>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</si>
  <si>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</si>
  <si>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</si>
  <si>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</si>
  <si>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</si>
  <si>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</si>
  <si>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</si>
  <si>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</si>
  <si>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</si>
  <si>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</si>
  <si>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</si>
  <si>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</si>
  <si>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</si>
  <si>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</si>
  <si>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</si>
  <si>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</si>
  <si>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</si>
  <si>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</si>
  <si>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</si>
  <si>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</si>
  <si>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</si>
  <si>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</si>
  <si>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</si>
  <si>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</si>
  <si>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</si>
  <si>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</si>
  <si>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</si>
  <si>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</si>
  <si>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</si>
  <si>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</si>
  <si>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</si>
  <si>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</si>
  <si>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</si>
  <si>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</si>
  <si>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</si>
  <si>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</si>
  <si>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</si>
  <si>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</si>
  <si>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</si>
  <si>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</si>
  <si>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</si>
  <si>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</si>
  <si>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</si>
  <si>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</si>
  <si>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</si>
  <si>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</si>
  <si>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</si>
  <si>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</si>
  <si>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</si>
  <si>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</si>
  <si>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</si>
  <si>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</si>
  <si>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</si>
  <si>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</si>
  <si>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</si>
  <si>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</si>
  <si>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</si>
  <si>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</si>
  <si>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</si>
  <si>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</si>
  <si>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</si>
  <si>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</si>
  <si>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</si>
  <si>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</si>
  <si>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</si>
  <si>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</si>
  <si>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</si>
  <si>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</si>
  <si>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</si>
  <si>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</si>
  <si>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</si>
  <si>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</si>
  <si>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</si>
  <si>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</si>
  <si>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</si>
  <si>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</si>
  <si>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</si>
  <si>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</si>
  <si>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</si>
  <si>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</si>
  <si>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</si>
  <si>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</si>
  <si>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</si>
  <si>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</si>
  <si>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</si>
  <si>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</si>
  <si>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</si>
  <si>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</si>
  <si>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</si>
  <si>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</si>
  <si>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</si>
  <si>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</si>
  <si>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</si>
  <si>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</si>
  <si>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</si>
  <si>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</si>
  <si>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</si>
  <si>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</si>
  <si>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</si>
  <si>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</si>
  <si>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</si>
  <si>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</si>
  <si>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</si>
  <si>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</si>
  <si>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</si>
  <si>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</si>
  <si>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</si>
  <si>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</si>
  <si>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</si>
  <si>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</si>
  <si>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</si>
  <si>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</si>
  <si>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</si>
  <si>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</si>
  <si>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</si>
  <si>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</si>
  <si>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</si>
  <si>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</si>
  <si>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</si>
  <si>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</si>
  <si>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</si>
  <si>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</si>
  <si>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</si>
  <si>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</si>
  <si>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</si>
  <si>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</si>
  <si>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</si>
  <si>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</si>
  <si>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</si>
  <si>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</si>
  <si>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</si>
  <si>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</si>
  <si>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</si>
  <si>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</si>
  <si>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</si>
  <si>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</si>
  <si>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</si>
  <si>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</si>
  <si>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</si>
  <si>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</si>
  <si>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</si>
  <si>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</si>
  <si>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</si>
  <si>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</si>
  <si>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</si>
  <si>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</si>
  <si>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</si>
  <si>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</si>
  <si>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</si>
  <si>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</si>
  <si>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</si>
  <si>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</si>
  <si>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</si>
  <si>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</si>
  <si>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</si>
  <si>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</si>
  <si>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</si>
  <si>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</si>
  <si>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</si>
  <si>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</si>
  <si>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</si>
  <si>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</si>
  <si>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</si>
  <si>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</si>
  <si>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</si>
  <si>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</si>
  <si>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</si>
  <si>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</si>
  <si>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</si>
  <si>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</si>
  <si>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</si>
  <si>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</si>
  <si>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</si>
  <si>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</si>
  <si>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</si>
  <si>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</si>
  <si>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</si>
  <si>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</si>
  <si>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</si>
  <si>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</si>
  <si>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</si>
  <si>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</si>
  <si>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</si>
  <si>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</si>
  <si>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</si>
  <si>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</si>
  <si>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</si>
  <si>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</si>
  <si>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</si>
  <si>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</si>
  <si>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</si>
  <si>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</si>
  <si>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</si>
  <si>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</si>
  <si>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</si>
  <si>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</si>
  <si>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</si>
  <si>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</si>
  <si>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</si>
  <si>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</si>
  <si>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</si>
  <si>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</si>
  <si>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</si>
  <si>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</si>
  <si>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</si>
  <si>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</si>
  <si>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</si>
  <si>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</si>
  <si>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</si>
  <si>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</si>
  <si>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</si>
  <si>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</si>
  <si>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</si>
  <si>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</si>
  <si>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</si>
  <si>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</si>
  <si>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</si>
  <si>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</si>
  <si>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</si>
  <si>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</si>
  <si>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</si>
  <si>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</si>
  <si>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</si>
  <si>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</si>
  <si>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</si>
  <si>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</si>
  <si>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</si>
  <si>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</si>
  <si>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</si>
  <si>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</si>
  <si>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</si>
  <si>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</si>
  <si>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</si>
  <si>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</si>
  <si>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</si>
  <si>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</si>
  <si>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</si>
  <si>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</si>
  <si>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</si>
  <si>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</si>
  <si>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</si>
  <si>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</si>
  <si>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</si>
  <si>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</si>
  <si>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</si>
  <si>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</si>
  <si>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</si>
  <si>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</si>
  <si>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</si>
  <si>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</si>
  <si>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</si>
  <si>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</si>
  <si>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</si>
  <si>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</si>
  <si>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</si>
  <si>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</si>
  <si>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</si>
  <si>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</si>
  <si>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</si>
  <si>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</si>
  <si>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</si>
  <si>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</si>
  <si>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</si>
  <si>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</si>
  <si>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</si>
  <si>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</si>
  <si>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</si>
  <si>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</si>
  <si>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</si>
  <si>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</si>
  <si>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</si>
  <si>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</si>
  <si>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</si>
  <si>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</si>
  <si>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</si>
  <si>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</si>
  <si>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</si>
  <si>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</si>
  <si>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</si>
  <si>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</si>
  <si>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</si>
  <si>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</si>
  <si>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</si>
  <si>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</si>
  <si>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</si>
  <si>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</si>
  <si>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</si>
  <si>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</si>
  <si>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</si>
  <si>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</si>
  <si>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</si>
  <si>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</si>
  <si>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</si>
  <si>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</si>
  <si>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</si>
  <si>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</si>
  <si>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</si>
  <si>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</si>
  <si>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</si>
  <si>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</si>
  <si>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</si>
  <si>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</si>
  <si>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</si>
  <si>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</si>
  <si>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</si>
  <si>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</si>
  <si>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</si>
  <si>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</si>
  <si>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</si>
  <si>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</si>
  <si>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</si>
  <si>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</si>
  <si>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</si>
  <si>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</si>
  <si>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</si>
  <si>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</si>
  <si>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</si>
  <si>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</si>
  <si>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</si>
  <si>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</si>
  <si>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</si>
  <si>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</si>
  <si>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</si>
  <si>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</si>
  <si>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</si>
  <si>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</si>
  <si>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</si>
  <si>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</si>
  <si>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</si>
  <si>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</si>
  <si>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</si>
  <si>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</si>
  <si>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</si>
  <si>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</si>
  <si>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</si>
  <si>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</si>
  <si>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</si>
  <si>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</si>
  <si>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</si>
  <si>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</si>
  <si>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</si>
  <si>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</si>
  <si>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</si>
  <si>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</si>
  <si>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</si>
  <si>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</si>
  <si>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</si>
  <si>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</si>
  <si>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</si>
  <si>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</si>
  <si>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</si>
  <si>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</si>
  <si>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</si>
  <si>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</si>
  <si>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</si>
  <si>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</si>
  <si>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</si>
  <si>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</si>
  <si>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</si>
  <si>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</si>
  <si>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</si>
  <si>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</si>
  <si>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</si>
  <si>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</si>
  <si>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</si>
  <si>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</si>
  <si>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</si>
  <si>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</si>
  <si>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</si>
  <si>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</si>
  <si>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</si>
  <si>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</si>
  <si>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</si>
  <si>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</si>
  <si>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</si>
  <si>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</si>
  <si>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</si>
  <si>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</si>
  <si>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</si>
  <si>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</si>
  <si>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</si>
  <si>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</si>
  <si>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</si>
  <si>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</si>
  <si>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</si>
  <si>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</si>
  <si>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</si>
  <si>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</si>
  <si>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</si>
  <si>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</si>
  <si>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</si>
  <si>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</si>
  <si>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</si>
  <si>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</si>
  <si>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</si>
  <si>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</si>
  <si>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</si>
  <si>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</si>
  <si>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</si>
  <si>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</si>
  <si>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</si>
  <si>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</si>
  <si>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</si>
  <si>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</si>
  <si>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</si>
  <si>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</si>
  <si>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</si>
  <si>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</si>
  <si>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</si>
  <si>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</si>
  <si>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</si>
  <si>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</si>
  <si>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</si>
  <si>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</si>
  <si>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</si>
  <si>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</si>
  <si>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</si>
  <si>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</si>
  <si>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</si>
  <si>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</si>
  <si>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</si>
  <si>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</si>
  <si>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</si>
  <si>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</si>
  <si>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</si>
  <si>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</si>
  <si>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</si>
  <si>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</si>
  <si>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</si>
  <si>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</si>
  <si>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</si>
  <si>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</si>
  <si>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</si>
  <si>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</si>
  <si>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</si>
  <si>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</si>
  <si>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</si>
  <si>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</si>
  <si>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</si>
  <si>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</si>
  <si>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</si>
  <si>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</si>
  <si>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</si>
  <si>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</si>
  <si>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</si>
  <si>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</si>
  <si>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</si>
  <si>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</si>
  <si>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</si>
  <si>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</si>
  <si>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</si>
  <si>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</si>
  <si>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</si>
  <si>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</si>
  <si>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</si>
  <si>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</si>
  <si>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</si>
  <si>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</si>
  <si>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</si>
  <si>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</si>
  <si>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</si>
  <si>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</si>
  <si>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</si>
  <si>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</si>
  <si>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</si>
  <si>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</si>
  <si>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</si>
  <si>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</si>
  <si>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</si>
  <si>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</si>
  <si>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</si>
  <si>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</si>
  <si>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</si>
  <si>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</si>
  <si>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</si>
  <si>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</si>
  <si>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</si>
  <si>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</si>
  <si>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</si>
  <si>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</si>
  <si>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</si>
  <si>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</si>
  <si>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</si>
  <si>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</si>
  <si>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</si>
  <si>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</si>
  <si>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</si>
  <si>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</si>
  <si>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</si>
  <si>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</si>
  <si>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</si>
  <si>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</si>
  <si>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</si>
  <si>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</si>
  <si>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</si>
  <si>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</si>
  <si>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</si>
  <si>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</si>
  <si>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</si>
  <si>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</si>
  <si>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</si>
  <si>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</si>
  <si>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</si>
  <si>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</si>
  <si>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</si>
  <si>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</si>
  <si>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</si>
  <si>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</si>
  <si>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</si>
  <si>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</si>
  <si>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</si>
  <si>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</si>
  <si>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</si>
  <si>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</si>
  <si>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</si>
  <si>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</si>
  <si>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</si>
  <si>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</si>
  <si>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</si>
  <si>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</si>
  <si>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</si>
  <si>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</si>
  <si>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</si>
  <si>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</si>
  <si>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</si>
  <si>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</si>
  <si>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</si>
  <si>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</si>
  <si>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</si>
  <si>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</si>
  <si>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</si>
  <si>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</si>
  <si>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</si>
  <si>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</si>
  <si>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</si>
  <si>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</si>
  <si>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</si>
  <si>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</si>
  <si>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</si>
  <si>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</si>
  <si>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</si>
  <si>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</si>
  <si>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</si>
  <si>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</si>
  <si>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</si>
  <si>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</si>
  <si>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</si>
  <si>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</si>
  <si>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</si>
  <si>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</si>
  <si>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</si>
  <si>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</si>
  <si>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</si>
  <si>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</si>
  <si>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</si>
  <si>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</si>
  <si>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</si>
  <si>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</si>
  <si>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</si>
  <si>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</si>
  <si>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</si>
  <si>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</si>
  <si>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</si>
  <si>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</si>
  <si>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</si>
  <si>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</si>
  <si>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</si>
  <si>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</si>
  <si>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</si>
  <si>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</si>
  <si>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</si>
  <si>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</si>
  <si>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</si>
  <si>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</si>
  <si>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</si>
  <si>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</si>
  <si>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</si>
  <si>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</si>
  <si>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</si>
  <si>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</si>
  <si>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</si>
  <si>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</si>
  <si>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</si>
  <si>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</si>
  <si>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</si>
  <si>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</si>
  <si>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</si>
  <si>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</si>
  <si>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</si>
  <si>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</si>
  <si>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</si>
  <si>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</si>
  <si>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</si>
  <si>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</si>
  <si>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</si>
  <si>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</si>
  <si>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</si>
  <si>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</si>
  <si>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</si>
  <si>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</si>
  <si>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</si>
  <si>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</si>
  <si>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</si>
  <si>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</si>
  <si>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</si>
  <si>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</si>
  <si>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</si>
  <si>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</si>
  <si>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</si>
  <si>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</si>
  <si>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</si>
  <si>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</si>
  <si>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</si>
  <si>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</si>
  <si>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</si>
  <si>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</si>
  <si>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</si>
  <si>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</si>
  <si>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</si>
  <si>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</si>
  <si>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</si>
  <si>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</si>
  <si>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</si>
  <si>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</si>
  <si>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</si>
  <si>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</si>
  <si>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</si>
  <si>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</si>
  <si>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</si>
  <si>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</si>
  <si>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</si>
  <si>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</si>
  <si>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</si>
  <si>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</si>
  <si>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</si>
  <si>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</si>
  <si>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</si>
  <si>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</si>
  <si>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</si>
  <si>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</si>
  <si>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</si>
  <si>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</si>
  <si>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</si>
  <si>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</si>
  <si>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</si>
  <si>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</si>
  <si>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</si>
  <si>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</si>
  <si>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</si>
  <si>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</si>
  <si>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</si>
  <si>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</si>
  <si>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</si>
  <si>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</si>
  <si>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</si>
  <si>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</si>
  <si>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</si>
  <si>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</si>
  <si>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</si>
  <si>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</si>
  <si>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</si>
  <si>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</si>
  <si>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</si>
  <si>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</si>
  <si>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</si>
  <si>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</si>
  <si>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</si>
  <si>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</si>
  <si>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</si>
  <si>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</si>
  <si>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</si>
  <si>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</si>
  <si>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</si>
  <si>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</si>
  <si>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</si>
  <si>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</si>
  <si>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</si>
  <si>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</si>
  <si>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</si>
  <si>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</si>
  <si>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</si>
  <si>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</si>
  <si>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</si>
  <si>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</si>
  <si>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</si>
  <si>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</si>
  <si>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</si>
  <si>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</si>
  <si>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</si>
  <si>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</si>
  <si>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</si>
  <si>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</si>
  <si>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</si>
  <si>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</si>
  <si>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</si>
  <si>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</si>
  <si>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</si>
  <si>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</si>
  <si>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</si>
  <si>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</si>
  <si>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</si>
  <si>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</si>
  <si>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</si>
  <si>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</si>
  <si>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</si>
  <si>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</si>
  <si>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</si>
  <si>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</si>
  <si>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</si>
  <si>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</si>
  <si>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</si>
  <si>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</si>
  <si>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</si>
  <si>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</si>
  <si>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</si>
  <si>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</si>
  <si>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</si>
  <si>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</si>
  <si>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</si>
  <si>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</si>
  <si>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</si>
  <si>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</si>
  <si>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</si>
  <si>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</si>
  <si>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</si>
  <si>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</si>
  <si>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</si>
  <si>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</si>
  <si>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</si>
  <si>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</si>
  <si>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</si>
  <si>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</si>
  <si>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</si>
  <si>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</si>
  <si>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</si>
  <si>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</si>
  <si>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</si>
  <si>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</si>
  <si>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</si>
  <si>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</si>
  <si>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</si>
  <si>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</si>
  <si>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</si>
  <si>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</si>
  <si>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</si>
  <si>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</si>
  <si>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</si>
  <si>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</si>
  <si>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</si>
  <si>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</si>
  <si>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</si>
  <si>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</si>
  <si>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</si>
  <si>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</si>
  <si>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</si>
  <si>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</si>
  <si>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</si>
  <si>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</si>
  <si>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</si>
  <si>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</si>
  <si>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</si>
  <si>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</si>
  <si>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</si>
  <si>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</si>
  <si>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</si>
  <si>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</si>
  <si>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</si>
  <si>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</si>
  <si>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</si>
  <si>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</si>
  <si>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</si>
  <si>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</si>
  <si>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</si>
  <si>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</si>
  <si>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</si>
  <si>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</si>
  <si>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</si>
  <si>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</si>
  <si>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</si>
  <si>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</si>
  <si>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</si>
  <si>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</si>
  <si>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</si>
  <si>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</si>
  <si>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</si>
  <si>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</si>
  <si>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</si>
  <si>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</si>
  <si>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</si>
  <si>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</si>
  <si>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</si>
  <si>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</si>
  <si>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</si>
  <si>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</si>
  <si>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</si>
  <si>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</si>
  <si>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</si>
  <si>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</si>
  <si>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</si>
  <si>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</si>
  <si>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</si>
  <si>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</si>
  <si>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</si>
  <si>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</si>
  <si>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</si>
  <si>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</si>
  <si>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</si>
  <si>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</si>
  <si>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</si>
  <si>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</si>
  <si>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</si>
  <si>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</si>
  <si>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</si>
  <si>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</si>
  <si>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</si>
  <si>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</si>
  <si>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</si>
  <si>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</si>
  <si>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</si>
  <si>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</si>
  <si>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</si>
  <si>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</si>
  <si>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</si>
  <si>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</si>
  <si>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</si>
  <si>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</si>
  <si>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</si>
  <si>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</si>
  <si>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</si>
  <si>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</si>
  <si>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</si>
  <si>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</si>
  <si>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</si>
  <si>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</si>
  <si>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</si>
  <si>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</si>
  <si>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</si>
  <si>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</si>
  <si>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</si>
  <si>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</si>
  <si>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</si>
  <si>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</si>
  <si>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</si>
  <si>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</si>
  <si>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</si>
  <si>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</si>
  <si>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</si>
  <si>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</si>
  <si>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</si>
  <si>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</si>
  <si>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</si>
  <si>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</si>
  <si>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</si>
  <si>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</si>
  <si>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</si>
  <si>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</si>
  <si>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</si>
  <si>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</si>
  <si>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</si>
  <si>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</si>
  <si>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</si>
  <si>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</si>
  <si>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</si>
  <si>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</si>
  <si>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</si>
  <si>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</si>
  <si>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</si>
  <si>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</si>
  <si>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</si>
  <si>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</si>
  <si>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</si>
  <si>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</si>
  <si>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</si>
  <si>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</si>
  <si>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</si>
  <si>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</si>
  <si>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</si>
  <si>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</si>
  <si>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</si>
  <si>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</si>
  <si>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</si>
  <si>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</si>
  <si>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</si>
  <si>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</si>
  <si>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</si>
  <si>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</si>
  <si>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</si>
  <si>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</si>
  <si>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</si>
  <si>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</si>
  <si>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</si>
  <si>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</si>
  <si>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</si>
  <si>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</si>
  <si>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</si>
  <si>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</si>
  <si>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</si>
  <si>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</si>
  <si>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</si>
  <si>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</si>
  <si>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</si>
  <si>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</si>
  <si>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</si>
  <si>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</si>
  <si>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</si>
  <si>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</si>
  <si>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</si>
  <si>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</si>
  <si>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</si>
  <si>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</si>
  <si>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</si>
  <si>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</si>
  <si>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</si>
  <si>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</si>
  <si>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</si>
  <si>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</si>
  <si>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</si>
  <si>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</si>
  <si>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</si>
  <si>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</si>
  <si>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</si>
  <si>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</si>
  <si>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</si>
  <si>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</si>
  <si>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</si>
  <si>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</si>
  <si>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</si>
  <si>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</si>
  <si>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</si>
  <si>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</si>
  <si>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</si>
  <si>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</si>
  <si>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</si>
  <si>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</si>
  <si>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</si>
  <si>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</si>
  <si>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</si>
  <si>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</si>
  <si>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</si>
  <si>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</si>
  <si>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</si>
  <si>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</si>
  <si>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</si>
  <si>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</si>
  <si>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</si>
  <si>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</si>
  <si>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</si>
  <si>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</si>
  <si>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</si>
  <si>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</si>
  <si>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</si>
  <si>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</si>
  <si>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</si>
  <si>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</si>
  <si>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</si>
  <si>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</si>
  <si>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</si>
  <si>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</si>
  <si>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</si>
  <si>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</si>
  <si>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</si>
  <si>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</si>
  <si>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</si>
  <si>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</si>
  <si>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</si>
  <si>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</si>
  <si>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</si>
  <si>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</si>
  <si>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</si>
  <si>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</si>
  <si>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</si>
  <si>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</si>
  <si>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</si>
  <si>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</si>
  <si>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</si>
  <si>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</si>
  <si>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</si>
  <si>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</si>
  <si>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</si>
  <si>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</si>
  <si>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</si>
  <si>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</si>
  <si>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</si>
  <si>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</si>
  <si>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</si>
  <si>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</si>
  <si>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</si>
  <si>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</si>
  <si>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</si>
  <si>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</si>
  <si>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</si>
  <si>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</si>
  <si>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</si>
  <si>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</si>
  <si>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</si>
  <si>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</si>
  <si>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</si>
  <si>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</si>
  <si>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</si>
  <si>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</si>
  <si>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</si>
  <si>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</si>
  <si>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</si>
  <si>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</si>
  <si>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</si>
  <si>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</si>
  <si>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</si>
  <si>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</si>
  <si>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</si>
  <si>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</si>
  <si>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</si>
  <si>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</si>
  <si>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</si>
  <si>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</si>
  <si>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</si>
  <si>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</si>
  <si>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</si>
  <si>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</si>
  <si>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</si>
  <si>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</si>
  <si>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</si>
  <si>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</si>
  <si>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</si>
  <si>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</si>
  <si>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</si>
  <si>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</si>
  <si>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</si>
  <si>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</si>
  <si>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</si>
  <si>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</si>
  <si>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</si>
  <si>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</si>
  <si>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</si>
  <si>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</si>
  <si>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</si>
  <si>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</si>
  <si>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</si>
  <si>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</si>
  <si>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</si>
  <si>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</si>
  <si>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</si>
  <si>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</si>
  <si>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</si>
  <si>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</si>
  <si>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</si>
  <si>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</si>
  <si>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</si>
  <si>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</si>
  <si>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</si>
  <si>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</si>
  <si>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</si>
  <si>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</si>
  <si>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</si>
  <si>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</si>
  <si>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</si>
  <si>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</si>
  <si>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</si>
  <si>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</si>
  <si>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</si>
  <si>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</si>
  <si>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</si>
  <si>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</si>
  <si>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</si>
  <si>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</si>
  <si>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</si>
  <si>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</si>
  <si>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</si>
  <si>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</si>
  <si>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</si>
  <si>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</si>
  <si>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</si>
  <si>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</si>
  <si>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</si>
  <si>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</si>
  <si>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</si>
  <si>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</si>
  <si>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</si>
  <si>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</si>
  <si>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</si>
  <si>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</si>
  <si>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</si>
  <si>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</si>
  <si>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</si>
  <si>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</si>
  <si>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</si>
  <si>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</si>
  <si>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</si>
  <si>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</si>
  <si>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</si>
  <si>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</si>
  <si>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</si>
  <si>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</si>
  <si>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</si>
  <si>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</si>
  <si>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</si>
  <si>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</si>
  <si>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</si>
  <si>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</si>
  <si>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</si>
  <si>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</si>
  <si>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</si>
  <si>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</si>
  <si>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</si>
  <si>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</si>
  <si>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</si>
  <si>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</si>
  <si>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</si>
  <si>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</si>
  <si>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</si>
  <si>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</si>
  <si>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</si>
  <si>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</si>
  <si>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</si>
  <si>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</si>
  <si>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</si>
  <si>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</si>
  <si>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</si>
  <si>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</si>
  <si>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</si>
  <si>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</si>
  <si>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</si>
  <si>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</si>
  <si>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</si>
  <si>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</si>
  <si>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</si>
  <si>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</si>
  <si>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</si>
  <si>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</si>
  <si>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</si>
  <si>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</si>
  <si>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</si>
  <si>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</si>
  <si>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</si>
  <si>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</si>
  <si>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</si>
  <si>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</si>
  <si>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</si>
  <si>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</si>
  <si>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</si>
  <si>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</si>
  <si>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</si>
  <si>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</si>
  <si>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</si>
  <si>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</si>
  <si>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</si>
  <si>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</si>
  <si>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</si>
  <si>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</si>
  <si>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</si>
  <si>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</si>
  <si>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</si>
  <si>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</si>
  <si>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</si>
  <si>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</si>
  <si>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</si>
  <si>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</si>
  <si>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</si>
  <si>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</si>
  <si>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</si>
  <si>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</si>
  <si>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</si>
  <si>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</si>
  <si>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</si>
  <si>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</si>
  <si>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</si>
  <si>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</si>
  <si>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</si>
  <si>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</si>
  <si>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</si>
  <si>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</si>
  <si>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</si>
  <si>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</si>
  <si>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</si>
  <si>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</si>
  <si>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</si>
  <si>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</si>
  <si>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</si>
  <si>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</si>
  <si>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</si>
  <si>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</si>
  <si>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</si>
  <si>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</si>
  <si>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</si>
  <si>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</si>
  <si>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</si>
  <si>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</si>
  <si>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</si>
  <si>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</si>
  <si>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</si>
  <si>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</si>
  <si>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</si>
  <si>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</si>
  <si>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</si>
  <si>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</si>
  <si>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</si>
  <si>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</si>
  <si>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</si>
  <si>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</si>
  <si>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</si>
  <si>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</si>
  <si>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</si>
  <si>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</si>
  <si>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</si>
  <si>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</si>
  <si>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</si>
  <si>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</si>
  <si>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</si>
  <si>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</si>
  <si>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</si>
  <si>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</si>
  <si>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</si>
  <si>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</si>
  <si>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</si>
  <si>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</si>
  <si>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</si>
  <si>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</si>
  <si>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</si>
  <si>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</si>
  <si>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</si>
  <si>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</si>
  <si>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</si>
  <si>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</si>
  <si>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</si>
  <si>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</si>
  <si>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</si>
  <si>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</si>
  <si>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</si>
  <si>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</si>
  <si>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</si>
  <si>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</si>
  <si>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</si>
  <si>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</si>
  <si>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</si>
  <si>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</si>
  <si>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</si>
  <si>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</si>
  <si>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</si>
  <si>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</si>
  <si>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</si>
  <si>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</si>
  <si>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</si>
  <si>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</si>
  <si>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</si>
  <si>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</si>
  <si>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</si>
  <si>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</si>
  <si>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</si>
  <si>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</si>
  <si>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</si>
  <si>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</si>
  <si>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</si>
  <si>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</si>
  <si>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</si>
  <si>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</si>
  <si>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</si>
  <si>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</si>
  <si>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</si>
  <si>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</si>
  <si>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</si>
  <si>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</si>
  <si>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</si>
  <si>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</si>
  <si>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</si>
  <si>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</si>
  <si>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</si>
  <si>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</si>
  <si>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</si>
  <si>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</si>
  <si>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</si>
  <si>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</si>
  <si>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</si>
  <si>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</si>
  <si>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</si>
  <si>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</si>
  <si>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</si>
  <si>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</si>
  <si>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</si>
  <si>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</si>
  <si>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</si>
  <si>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</si>
  <si>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</si>
  <si>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</si>
  <si>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</si>
  <si>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</si>
  <si>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</si>
  <si>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</si>
  <si>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</si>
  <si>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</si>
  <si>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</si>
  <si>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</si>
  <si>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</si>
  <si>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</si>
  <si>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</si>
  <si>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</si>
  <si>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</si>
  <si>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</si>
  <si>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</si>
  <si>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</si>
  <si>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</si>
  <si>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</si>
  <si>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</si>
  <si>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</si>
  <si>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</si>
  <si>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</si>
  <si>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</si>
  <si>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</si>
  <si>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</si>
  <si>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</si>
  <si>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</si>
  <si>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</si>
  <si>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</si>
  <si>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</si>
  <si>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</si>
  <si>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</si>
  <si>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</si>
  <si>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</si>
  <si>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</si>
  <si>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</si>
  <si>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</si>
  <si>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</si>
  <si>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</si>
  <si>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</si>
  <si>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</si>
  <si>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</si>
  <si>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</si>
  <si>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</si>
  <si>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</si>
  <si>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</si>
  <si>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</si>
  <si>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</si>
  <si>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</si>
  <si>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</si>
  <si>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</si>
  <si>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</si>
  <si>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</si>
  <si>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</si>
  <si>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</si>
  <si>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</si>
  <si>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</si>
  <si>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</si>
  <si>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</si>
  <si>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</si>
  <si>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</si>
  <si>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</si>
  <si>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</si>
  <si>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</si>
  <si>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</si>
  <si>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</si>
  <si>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</si>
  <si>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</si>
  <si>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</si>
  <si>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</si>
  <si>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</si>
  <si>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</si>
  <si>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</si>
  <si>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</si>
  <si>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</si>
  <si>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</si>
  <si>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</si>
  <si>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</si>
  <si>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</si>
  <si>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</si>
  <si>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</si>
  <si>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</si>
  <si>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</si>
  <si>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</si>
  <si>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</si>
  <si>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</si>
  <si>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</si>
  <si>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</si>
  <si>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</si>
  <si>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</si>
  <si>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</si>
  <si>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</si>
  <si>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</si>
  <si>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</si>
  <si>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</si>
  <si>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</si>
  <si>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</si>
  <si>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</si>
  <si>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</si>
  <si>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</si>
  <si>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</si>
  <si>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</si>
  <si>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</si>
  <si>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</si>
  <si>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</si>
  <si>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</si>
  <si>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</si>
  <si>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</si>
  <si>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</si>
  <si>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</si>
  <si>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</si>
  <si>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</si>
  <si>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</si>
  <si>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</si>
  <si>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</si>
  <si>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</si>
  <si>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</si>
  <si>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</si>
  <si>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</si>
  <si>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</si>
  <si>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</si>
  <si>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</si>
  <si>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</si>
  <si>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</si>
  <si>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</si>
  <si>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</si>
  <si>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</si>
  <si>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</si>
  <si>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</si>
  <si>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</si>
  <si>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</si>
  <si>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</si>
  <si>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</si>
  <si>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</si>
  <si>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</si>
  <si>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</si>
  <si>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</si>
  <si>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</si>
  <si>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</si>
  <si>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</si>
  <si>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</si>
  <si>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</si>
  <si>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</si>
  <si>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</si>
  <si>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</si>
  <si>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</si>
  <si>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</si>
  <si>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</si>
  <si>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</si>
  <si>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</si>
  <si>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</si>
  <si>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</si>
  <si>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</si>
  <si>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</si>
  <si>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</si>
  <si>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</si>
  <si>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</si>
  <si>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</si>
  <si>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</si>
  <si>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</si>
  <si>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</si>
  <si>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</si>
  <si>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</si>
  <si>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</si>
  <si>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</si>
  <si>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</si>
  <si>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</si>
  <si>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</si>
  <si>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</si>
  <si>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</si>
  <si>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</si>
  <si>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</si>
  <si>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</si>
  <si>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</si>
  <si>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</si>
  <si>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</si>
  <si>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</si>
  <si>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</si>
  <si>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</si>
  <si>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</si>
  <si>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</si>
  <si>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</si>
  <si>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</si>
  <si>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</si>
  <si>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</si>
  <si>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</si>
  <si>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</si>
  <si>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</si>
  <si>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</si>
  <si>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</si>
  <si>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</si>
  <si>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</si>
  <si>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</si>
  <si>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</si>
  <si>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</si>
  <si>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</si>
  <si>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</si>
  <si>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</si>
  <si>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</si>
  <si>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</si>
  <si>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</si>
  <si>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</si>
  <si>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</si>
  <si>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</si>
  <si>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</si>
  <si>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</si>
  <si>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</si>
  <si>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</si>
  <si>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</si>
  <si>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</si>
  <si>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</si>
  <si>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</si>
  <si>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</si>
  <si>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</si>
  <si>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</si>
  <si>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</si>
  <si>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</si>
  <si>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</si>
  <si>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</si>
  <si>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</si>
  <si>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</si>
  <si>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</si>
  <si>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</si>
  <si>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</si>
  <si>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</si>
  <si>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</si>
  <si>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</si>
  <si>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</si>
  <si>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</si>
  <si>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</si>
  <si>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</si>
  <si>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</si>
  <si>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</si>
  <si>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</si>
  <si>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</si>
  <si>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</si>
  <si>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</si>
  <si>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</si>
  <si>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</si>
  <si>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</si>
  <si>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</si>
  <si>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</si>
  <si>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</si>
  <si>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</si>
  <si>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</si>
  <si>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</si>
  <si>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</si>
  <si>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</si>
  <si>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</si>
  <si>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</si>
  <si>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</si>
  <si>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</si>
  <si>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</si>
  <si>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</si>
  <si>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</si>
  <si>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</si>
  <si>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</si>
  <si>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</si>
  <si>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</si>
  <si>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</si>
  <si>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</si>
  <si>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</si>
  <si>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</si>
  <si>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</si>
  <si>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</si>
  <si>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</si>
  <si>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</si>
  <si>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</si>
  <si>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</si>
  <si>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</si>
  <si>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</si>
  <si>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</si>
  <si>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</si>
  <si>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</si>
  <si>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</si>
  <si>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</si>
  <si>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</si>
  <si>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</si>
  <si>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</si>
  <si>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</si>
  <si>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</si>
  <si>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</si>
  <si>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</si>
  <si>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</si>
  <si>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</si>
  <si>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</si>
  <si>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</si>
  <si>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</si>
  <si>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</si>
  <si>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</si>
  <si>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</si>
  <si>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</si>
  <si>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</si>
  <si>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</si>
  <si>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</si>
  <si>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</si>
  <si>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</si>
  <si>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</si>
  <si>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</si>
  <si>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</si>
  <si>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</si>
  <si>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</si>
  <si>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</si>
  <si>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</si>
  <si>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</si>
  <si>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</si>
  <si>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</si>
  <si>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</si>
  <si>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</si>
  <si>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</si>
  <si>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</si>
  <si>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</si>
  <si>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</si>
  <si>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</si>
  <si>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</si>
  <si>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</si>
  <si>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</si>
  <si>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</si>
  <si>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</si>
  <si>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</si>
  <si>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</si>
  <si>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</si>
  <si>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</si>
  <si>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</si>
  <si>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</si>
  <si>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</si>
  <si>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</si>
  <si>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</si>
  <si>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</si>
  <si>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</si>
  <si>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</si>
  <si>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</si>
  <si>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</si>
  <si>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</si>
  <si>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</si>
  <si>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</si>
  <si>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</si>
  <si>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</si>
  <si>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</si>
  <si>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</si>
  <si>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</si>
  <si>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</si>
  <si>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</si>
  <si>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</si>
  <si>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</si>
  <si>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</si>
  <si>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</si>
  <si>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</si>
  <si>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</si>
  <si>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</si>
  <si>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</si>
  <si>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</si>
  <si>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</si>
  <si>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</si>
  <si>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</si>
  <si>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</si>
  <si>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</si>
  <si>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</si>
  <si>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</si>
  <si>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</si>
  <si>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</si>
  <si>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</si>
  <si>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</si>
  <si>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</si>
  <si>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</si>
  <si>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</si>
  <si>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</si>
  <si>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</si>
  <si>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</si>
  <si>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</si>
  <si>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</si>
  <si>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</si>
  <si>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</si>
  <si>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</si>
  <si>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</si>
  <si>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</si>
  <si>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</si>
  <si>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</si>
  <si>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</si>
  <si>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</si>
  <si>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</si>
  <si>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</si>
  <si>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</si>
  <si>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</si>
  <si>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</si>
  <si>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</si>
  <si>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</si>
  <si>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</si>
  <si>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</si>
  <si>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</si>
  <si>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</si>
  <si>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</si>
  <si>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</si>
  <si>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</si>
  <si>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</si>
  <si>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</si>
  <si>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</si>
  <si>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</si>
  <si>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</si>
  <si>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</si>
  <si>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</si>
  <si>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</si>
  <si>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</si>
  <si>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</si>
  <si>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</si>
  <si>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</si>
  <si>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</si>
  <si>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</si>
  <si>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</si>
  <si>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</si>
  <si>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</si>
  <si>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</si>
  <si>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</si>
  <si>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</si>
  <si>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</si>
  <si>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</si>
  <si>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</si>
  <si>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</si>
  <si>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</si>
  <si>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</si>
  <si>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</si>
  <si>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</si>
  <si>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</si>
  <si>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</si>
  <si>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</si>
  <si>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</si>
  <si>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</si>
  <si>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</si>
  <si>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</si>
  <si>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</si>
  <si>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</si>
  <si>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</si>
  <si>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</si>
  <si>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</si>
  <si>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</si>
  <si>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</si>
  <si>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</si>
  <si>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</si>
  <si>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</si>
  <si>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</si>
  <si>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</si>
  <si>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</si>
  <si>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</si>
  <si>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</si>
  <si>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</si>
  <si>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</si>
  <si>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</si>
  <si>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</si>
  <si>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</si>
  <si>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</si>
  <si>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</si>
  <si>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</si>
  <si>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</si>
  <si>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</si>
  <si>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</si>
  <si>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</si>
  <si>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</si>
  <si>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</si>
  <si>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</si>
  <si>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</si>
  <si>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</si>
  <si>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</si>
  <si>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</si>
  <si>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</si>
  <si>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</si>
  <si>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</si>
  <si>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</si>
  <si>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</si>
  <si>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</si>
  <si>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</si>
  <si>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</si>
  <si>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</si>
  <si>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</si>
  <si>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</si>
  <si>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</si>
  <si>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</si>
  <si>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</si>
  <si>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</si>
  <si>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</si>
  <si>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</si>
  <si>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</si>
  <si>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</si>
  <si>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</si>
  <si>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</si>
  <si>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</si>
  <si>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</si>
  <si>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</si>
  <si>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</si>
  <si>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</si>
  <si>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</si>
  <si>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</si>
  <si>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</si>
  <si>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</si>
  <si>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</si>
  <si>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</si>
  <si>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</si>
  <si>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</si>
  <si>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</si>
  <si>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</si>
  <si>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</si>
  <si>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</si>
  <si>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</si>
  <si>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</si>
  <si>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</si>
  <si>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</si>
  <si>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</si>
  <si>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</si>
  <si>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</si>
  <si>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</si>
  <si>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</si>
  <si>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</si>
  <si>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</si>
  <si>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</si>
  <si>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</si>
  <si>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</si>
  <si>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</si>
  <si>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</si>
  <si>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</si>
  <si>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</si>
  <si>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</si>
  <si>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</si>
  <si>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</si>
  <si>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</si>
  <si>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</si>
  <si>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</si>
  <si>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</si>
  <si>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</si>
  <si>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</si>
  <si>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</si>
  <si>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</si>
  <si>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</si>
  <si>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</si>
  <si>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</si>
  <si>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</si>
  <si>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</si>
  <si>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</si>
  <si>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</si>
  <si>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</si>
  <si>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</si>
  <si>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</si>
  <si>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</si>
  <si>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</si>
  <si>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</si>
  <si>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</si>
  <si>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</si>
  <si>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</si>
  <si>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</si>
  <si>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</si>
  <si>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</si>
  <si>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</si>
  <si>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</si>
  <si>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</si>
  <si>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</si>
  <si>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</si>
  <si>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</si>
  <si>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</si>
  <si>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</si>
  <si>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</si>
  <si>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</si>
  <si>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</si>
  <si>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</si>
  <si>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</si>
  <si>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</si>
  <si>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</si>
  <si>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</si>
  <si>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</si>
  <si>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</si>
  <si>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</si>
  <si>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</si>
  <si>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</si>
  <si>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</si>
  <si>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</si>
  <si>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</si>
  <si>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</si>
  <si>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</si>
  <si>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</si>
  <si>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</si>
  <si>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</si>
  <si>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</si>
  <si>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</si>
  <si>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</si>
  <si>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</si>
  <si>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</si>
  <si>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</si>
  <si>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</si>
  <si>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</si>
  <si>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</si>
  <si>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</si>
  <si>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</si>
  <si>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</si>
  <si>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</si>
  <si>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</si>
  <si>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</si>
  <si>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</si>
  <si>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</si>
  <si>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</si>
  <si>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</si>
  <si>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</si>
  <si>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</si>
  <si>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</si>
  <si>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</si>
  <si>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</si>
  <si>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</si>
  <si>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</si>
  <si>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</si>
  <si>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</si>
  <si>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</si>
  <si>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</si>
  <si>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</si>
  <si>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</si>
  <si>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</si>
  <si>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</si>
  <si>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</si>
  <si>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</si>
  <si>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</si>
  <si>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</si>
  <si>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</si>
  <si>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</si>
  <si>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</si>
  <si>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</si>
  <si>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</si>
  <si>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</si>
  <si>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</si>
  <si>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</si>
  <si>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</si>
  <si>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</si>
  <si>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</si>
  <si>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</si>
  <si>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</si>
  <si>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</si>
  <si>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</si>
  <si>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</si>
  <si>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</si>
  <si>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</si>
  <si>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</si>
  <si>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</si>
  <si>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</si>
  <si>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</si>
  <si>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</si>
  <si>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</si>
  <si>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</si>
  <si>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</si>
  <si>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</si>
  <si>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</si>
  <si>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</si>
  <si>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</si>
  <si>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</si>
  <si>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</si>
  <si>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</si>
  <si>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</si>
  <si>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</si>
  <si>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</si>
  <si>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</si>
  <si>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</si>
  <si>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</si>
  <si>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</si>
  <si>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</si>
  <si>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</si>
  <si>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</si>
  <si>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</si>
  <si>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</si>
  <si>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</si>
  <si>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</si>
  <si>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</si>
  <si>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</si>
  <si>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</si>
  <si>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</si>
  <si>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</si>
  <si>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</si>
  <si>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</si>
  <si>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</si>
  <si>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</si>
  <si>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</si>
  <si>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</si>
  <si>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</si>
  <si>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</si>
  <si>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</si>
  <si>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</si>
  <si>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</si>
  <si>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</si>
  <si>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</si>
  <si>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</si>
  <si>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</si>
  <si>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</si>
  <si>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</si>
  <si>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</si>
  <si>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</si>
  <si>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</si>
  <si>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</si>
  <si>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</si>
  <si>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</si>
  <si>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</si>
  <si>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</si>
  <si>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</si>
  <si>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</si>
  <si>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</si>
  <si>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</si>
  <si>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</si>
  <si>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</si>
  <si>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</si>
  <si>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</si>
  <si>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</si>
  <si>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</si>
  <si>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</si>
  <si>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</si>
  <si>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</si>
  <si>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</si>
  <si>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</si>
  <si>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</si>
  <si>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</si>
  <si>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</si>
  <si>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</si>
  <si>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</si>
  <si>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</si>
  <si>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</si>
  <si>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</si>
  <si>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</si>
  <si>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</si>
  <si>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</si>
  <si>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</si>
  <si>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</si>
  <si>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</si>
  <si>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</si>
  <si>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</si>
  <si>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</si>
  <si>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</si>
  <si>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</si>
  <si>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</si>
  <si>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</si>
  <si>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</si>
  <si>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</si>
  <si>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</si>
  <si>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</si>
  <si>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</si>
  <si>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</si>
  <si>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</si>
  <si>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</si>
  <si>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</si>
  <si>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</si>
  <si>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</si>
  <si>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</si>
  <si>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</si>
  <si>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</si>
  <si>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</si>
  <si>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</si>
  <si>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</si>
  <si>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</si>
  <si>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</si>
  <si>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</si>
  <si>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</si>
  <si>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</si>
  <si>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</si>
  <si>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</si>
  <si>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</si>
  <si>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</si>
  <si>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</si>
  <si>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</si>
  <si>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</si>
  <si>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</si>
  <si>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</si>
  <si>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</si>
  <si>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</si>
  <si>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</si>
  <si>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</si>
  <si>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</si>
  <si>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</si>
  <si>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</si>
  <si>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</si>
  <si>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</si>
  <si>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</si>
  <si>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</si>
  <si>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</si>
  <si>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</si>
  <si>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</si>
  <si>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</si>
  <si>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</si>
  <si>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</si>
  <si>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</si>
  <si>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</si>
  <si>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</si>
  <si>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</si>
  <si>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</si>
  <si>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</si>
  <si>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</si>
  <si>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</si>
  <si>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</si>
  <si>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</si>
  <si>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</si>
  <si>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</si>
  <si>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</si>
  <si>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</si>
  <si>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</si>
  <si>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</si>
  <si>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</si>
  <si>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</si>
  <si>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</si>
  <si>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</si>
  <si>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</si>
  <si>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</si>
  <si>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</si>
  <si>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</si>
  <si>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</si>
  <si>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</si>
  <si>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</si>
  <si>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</si>
  <si>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</si>
  <si>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</si>
  <si>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</si>
  <si>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</si>
  <si>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</si>
  <si>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</si>
  <si>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</si>
  <si>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</si>
  <si>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</si>
  <si>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</si>
  <si>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</si>
  <si>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</si>
  <si>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</si>
  <si>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</si>
  <si>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</si>
  <si>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</si>
  <si>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</si>
  <si>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</si>
  <si>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</si>
  <si>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</si>
  <si>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</si>
  <si>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</si>
  <si>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</si>
  <si>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</si>
  <si>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</si>
  <si>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</si>
  <si>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</si>
  <si>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</si>
  <si>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</si>
  <si>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</si>
  <si>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</si>
  <si>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</si>
  <si>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</si>
  <si>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</si>
  <si>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</si>
  <si>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</si>
  <si>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</si>
  <si>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</si>
  <si>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</si>
  <si>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</si>
  <si>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</si>
  <si>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</si>
  <si>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</si>
  <si>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</si>
  <si>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</si>
  <si>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</si>
  <si>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</si>
  <si>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</si>
  <si>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</si>
  <si>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</si>
  <si>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</si>
  <si>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</si>
  <si>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</si>
  <si>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</si>
  <si>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</si>
  <si>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</si>
  <si>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</si>
  <si>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</si>
  <si>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</si>
  <si>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</si>
  <si>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</si>
  <si>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</si>
  <si>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</si>
  <si>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</si>
  <si>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</si>
  <si>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</si>
  <si>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</si>
  <si>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</si>
  <si>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</si>
  <si>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</si>
  <si>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</si>
  <si>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</si>
  <si>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</si>
  <si>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</si>
  <si>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</si>
  <si>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</si>
  <si>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</si>
  <si>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</si>
  <si>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</si>
  <si>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</si>
  <si>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</si>
  <si>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</si>
  <si>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</si>
  <si>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</si>
  <si>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</si>
  <si>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</si>
  <si>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</si>
  <si>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</si>
  <si>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</si>
  <si>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</si>
  <si>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</si>
  <si>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</si>
  <si>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</si>
  <si>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</si>
  <si>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</si>
  <si>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</si>
  <si>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</si>
  <si>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</si>
  <si>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</si>
  <si>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</si>
  <si>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</si>
  <si>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</si>
  <si>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</si>
  <si>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</si>
  <si>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</si>
  <si>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</si>
  <si>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</si>
  <si>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</si>
  <si>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</si>
  <si>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</si>
  <si>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</si>
  <si>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</si>
  <si>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</si>
  <si>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</si>
  <si>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</si>
  <si>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</si>
  <si>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</si>
  <si>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</si>
  <si>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</si>
  <si>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</si>
  <si>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</si>
  <si>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</si>
  <si>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</si>
  <si>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</si>
  <si>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</si>
  <si>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</si>
  <si>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</si>
  <si>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</si>
  <si>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</si>
  <si>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</si>
  <si>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</si>
  <si>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</si>
  <si>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</si>
  <si>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</si>
  <si>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</si>
  <si>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</si>
  <si>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</si>
  <si>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</si>
  <si>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</si>
  <si>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</si>
  <si>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</si>
  <si>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</si>
  <si>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</si>
  <si>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</si>
  <si>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</si>
  <si>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</si>
  <si>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</si>
  <si>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</si>
  <si>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</si>
  <si>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</si>
  <si>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</si>
  <si>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</si>
  <si>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</si>
  <si>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</si>
  <si>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</si>
  <si>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</si>
  <si>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</si>
  <si>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</si>
  <si>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</si>
  <si>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</si>
  <si>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</si>
  <si>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</si>
  <si>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</si>
  <si>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</si>
  <si>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</si>
  <si>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</si>
  <si>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</si>
  <si>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</si>
  <si>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</si>
  <si>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</si>
  <si>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</si>
  <si>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</si>
  <si>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</si>
  <si>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</si>
  <si>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</si>
  <si>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</si>
  <si>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</si>
  <si>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</si>
  <si>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</si>
  <si>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</si>
  <si>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</si>
  <si>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</si>
  <si>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</si>
  <si>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</si>
  <si>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</si>
  <si>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</si>
  <si>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</si>
  <si>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</si>
  <si>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</si>
  <si>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</si>
  <si>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</si>
  <si>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</si>
  <si>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</si>
  <si>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</si>
  <si>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</si>
  <si>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</si>
  <si>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</si>
  <si>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</si>
  <si>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</si>
  <si>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</si>
  <si>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</si>
  <si>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</si>
  <si>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</si>
  <si>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</si>
  <si>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</si>
  <si>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</si>
  <si>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</si>
  <si>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</si>
  <si>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</si>
  <si>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</si>
  <si>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</si>
  <si>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</si>
  <si>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</si>
  <si>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</si>
  <si>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</si>
  <si>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</si>
  <si>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</si>
  <si>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</si>
  <si>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</si>
  <si>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</si>
  <si>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</si>
  <si>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</si>
  <si>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</si>
  <si>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</si>
  <si>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</si>
  <si>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</si>
  <si>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</si>
  <si>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</si>
  <si>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</si>
  <si>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</si>
  <si>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</si>
  <si>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</si>
  <si>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</si>
  <si>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</si>
  <si>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</si>
  <si>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</si>
  <si>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</si>
  <si>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</si>
  <si>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</si>
  <si>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</si>
  <si>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</si>
  <si>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</si>
  <si>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</si>
  <si>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</si>
  <si>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</si>
  <si>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</si>
  <si>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</si>
  <si>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</si>
  <si>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</si>
  <si>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</si>
  <si>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</si>
  <si>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</si>
  <si>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</si>
  <si>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</si>
  <si>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</si>
  <si>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</si>
  <si>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</si>
  <si>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</si>
  <si>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</si>
  <si>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</si>
  <si>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</si>
  <si>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</si>
  <si>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</si>
  <si>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</si>
  <si>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</si>
  <si>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</si>
  <si>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</si>
  <si>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</si>
  <si>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</si>
  <si>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</si>
  <si>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</si>
  <si>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</si>
  <si>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</si>
  <si>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</si>
  <si>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</si>
  <si>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</si>
  <si>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</si>
  <si>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</si>
  <si>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</si>
  <si>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</si>
  <si>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</si>
  <si>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</si>
  <si>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</si>
  <si>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</si>
  <si>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</si>
  <si>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</si>
  <si>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</si>
  <si>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</si>
  <si>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</si>
  <si>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</si>
  <si>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</si>
  <si>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</si>
  <si>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</si>
  <si>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</si>
  <si>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</si>
  <si>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</si>
  <si>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</si>
  <si>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</si>
  <si>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</si>
  <si>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</si>
  <si>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</si>
  <si>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</si>
  <si>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</si>
  <si>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</si>
  <si>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</si>
  <si>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</si>
  <si>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</si>
  <si>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</si>
  <si>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</si>
  <si>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</si>
  <si>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</si>
  <si>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</si>
  <si>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</si>
  <si>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</si>
  <si>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</si>
  <si>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</si>
  <si>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</si>
  <si>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</si>
  <si>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</si>
  <si>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</si>
  <si>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</si>
  <si>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</si>
  <si>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</si>
  <si>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</si>
  <si>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</si>
  <si>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</si>
  <si>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</si>
  <si>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</si>
  <si>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</si>
  <si>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</si>
  <si>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</si>
  <si>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</si>
  <si>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</si>
  <si>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</si>
  <si>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</si>
  <si>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</si>
  <si>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</si>
  <si>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</si>
  <si>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</si>
  <si>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</si>
  <si>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</si>
  <si>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</si>
  <si>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</si>
  <si>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</si>
  <si>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</si>
  <si>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</si>
  <si>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</si>
  <si>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</si>
  <si>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</si>
  <si>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</si>
  <si>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</si>
  <si>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</si>
  <si>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</si>
  <si>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</si>
  <si>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</si>
  <si>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</si>
  <si>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</si>
  <si>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</si>
  <si>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</si>
  <si>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</si>
  <si>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</si>
  <si>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</si>
  <si>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</si>
  <si>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</si>
  <si>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</si>
  <si>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</si>
  <si>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</si>
  <si>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</si>
  <si>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</si>
  <si>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</si>
  <si>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</si>
  <si>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</si>
  <si>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</si>
  <si>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</si>
  <si>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</si>
  <si>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</si>
  <si>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</si>
  <si>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</si>
  <si>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</si>
  <si>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</si>
  <si>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</si>
  <si>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</si>
  <si>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</si>
  <si>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</si>
  <si>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</si>
  <si>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</si>
  <si>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</si>
  <si>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</si>
  <si>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</si>
  <si>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</si>
  <si>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</si>
  <si>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</si>
  <si>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</si>
  <si>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</si>
  <si>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</si>
  <si>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</si>
  <si>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</si>
  <si>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</si>
  <si>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</si>
  <si>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</si>
  <si>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</si>
  <si>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</si>
  <si>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</si>
  <si>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</si>
  <si>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</si>
  <si>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</si>
  <si>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</si>
  <si>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</si>
  <si>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</si>
  <si>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</si>
  <si>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</si>
  <si>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</si>
  <si>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</si>
  <si>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</si>
  <si>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</si>
  <si>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</si>
  <si>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</si>
  <si>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</si>
  <si>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</si>
  <si>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</si>
  <si>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</si>
  <si>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</si>
  <si>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</si>
  <si>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</si>
  <si>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</si>
  <si>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</si>
  <si>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</si>
  <si>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</si>
  <si>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</si>
  <si>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</si>
  <si>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</si>
  <si>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</si>
  <si>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</si>
  <si>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</si>
  <si>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</si>
  <si>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</si>
  <si>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</si>
  <si>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</si>
  <si>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</si>
  <si>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</si>
  <si>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</si>
  <si>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</si>
  <si>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</si>
  <si>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</si>
  <si>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</si>
  <si>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</si>
  <si>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</si>
  <si>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</si>
  <si>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</si>
  <si>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</si>
  <si>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</si>
  <si>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</si>
  <si>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</si>
  <si>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</si>
  <si>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</si>
  <si>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</si>
  <si>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</si>
  <si>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</si>
  <si>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</si>
  <si>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</si>
  <si>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</si>
  <si>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</si>
  <si>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</si>
  <si>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</si>
  <si>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</si>
  <si>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</si>
  <si>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</si>
  <si>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</si>
  <si>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</si>
  <si>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</si>
  <si>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</si>
  <si>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</si>
  <si>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</si>
  <si>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</si>
  <si>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</si>
  <si>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</si>
  <si>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</si>
  <si>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</si>
  <si>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</si>
  <si>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</si>
  <si>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</si>
  <si>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</si>
  <si>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</si>
  <si>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</si>
  <si>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</si>
  <si>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</si>
  <si>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</si>
  <si>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</si>
  <si>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</si>
  <si>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</si>
  <si>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</si>
  <si>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</si>
  <si>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</si>
  <si>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</si>
  <si>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</si>
  <si>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</si>
  <si>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</si>
  <si>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</si>
  <si>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</si>
  <si>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</si>
  <si>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</si>
  <si>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</si>
  <si>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</si>
  <si>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</si>
  <si>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</si>
  <si>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</si>
  <si>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</si>
  <si>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</si>
  <si>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</si>
  <si>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</si>
  <si>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</si>
  <si>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</si>
  <si>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</si>
  <si>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</si>
  <si>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</si>
  <si>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</si>
  <si>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</si>
  <si>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</si>
  <si>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</si>
  <si>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</si>
  <si>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</si>
  <si>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</si>
  <si>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</si>
  <si>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</si>
  <si>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</si>
  <si>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</si>
  <si>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</si>
  <si>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</si>
  <si>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</si>
  <si>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</si>
  <si>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</si>
  <si>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</si>
  <si>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</si>
  <si>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</si>
  <si>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</si>
  <si>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</si>
  <si>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</si>
  <si>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</si>
  <si>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</si>
  <si>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</si>
  <si>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</si>
  <si>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</si>
  <si>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</si>
  <si>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</si>
  <si>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</si>
  <si>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</si>
  <si>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</si>
  <si>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</si>
  <si>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</si>
  <si>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</si>
  <si>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</si>
  <si>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</si>
  <si>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</si>
  <si>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</si>
  <si>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</si>
  <si>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</si>
  <si>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</si>
  <si>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</si>
  <si>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</si>
  <si>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</si>
  <si>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</si>
  <si>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</si>
  <si>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</si>
  <si>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</si>
  <si>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</si>
  <si>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</si>
  <si>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</si>
  <si>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</si>
  <si>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</si>
  <si>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</si>
  <si>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</si>
  <si>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</si>
  <si>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</si>
  <si>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</si>
  <si>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</si>
  <si>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</si>
  <si>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</si>
  <si>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</si>
  <si>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</si>
  <si>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</si>
  <si>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</si>
  <si>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</si>
  <si>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</si>
  <si>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</si>
  <si>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</si>
  <si>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</si>
  <si>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</si>
  <si>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</si>
  <si>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</si>
  <si>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</si>
  <si>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</si>
  <si>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</si>
  <si>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</si>
  <si>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</si>
  <si>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</si>
  <si>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</si>
  <si>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</si>
  <si>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</si>
  <si>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</si>
  <si>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</si>
  <si>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</si>
  <si>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</si>
  <si>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</si>
  <si>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</si>
  <si>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</si>
  <si>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</si>
  <si>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</si>
  <si>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</si>
  <si>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</si>
  <si>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</si>
  <si>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</si>
  <si>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</si>
  <si>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</si>
  <si>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</si>
  <si>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</si>
  <si>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</si>
  <si>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</si>
  <si>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</si>
  <si>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</si>
  <si>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</si>
  <si>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</si>
  <si>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</si>
  <si>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</si>
  <si>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</si>
  <si>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</si>
  <si>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</si>
  <si>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</si>
  <si>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</si>
  <si>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</si>
  <si>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</si>
  <si>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</si>
  <si>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</si>
  <si>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</si>
  <si>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</si>
  <si>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</si>
  <si>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</si>
  <si>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</si>
  <si>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</si>
  <si>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</si>
  <si>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</si>
  <si>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</si>
  <si>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</si>
  <si>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</si>
  <si>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</si>
  <si>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</si>
  <si>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</si>
  <si>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</si>
  <si>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</si>
  <si>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</si>
  <si>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</si>
  <si>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</si>
  <si>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</si>
  <si>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</si>
  <si>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</si>
  <si>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</si>
  <si>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</si>
  <si>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</si>
  <si>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</si>
  <si>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</si>
  <si>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</si>
  <si>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</si>
  <si>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</si>
  <si>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</si>
  <si>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</si>
  <si>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</si>
  <si>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</si>
  <si>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</si>
  <si>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</si>
  <si>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</si>
  <si>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</si>
  <si>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</si>
  <si>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</si>
  <si>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</si>
  <si>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</si>
  <si>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</si>
  <si>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</si>
  <si>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</si>
  <si>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</si>
  <si>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</si>
  <si>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</si>
  <si>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</si>
  <si>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</si>
  <si>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</si>
  <si>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</si>
  <si>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</si>
  <si>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</si>
  <si>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</si>
  <si>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</si>
  <si>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</si>
  <si>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</si>
  <si>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</si>
  <si>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</si>
  <si>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</si>
  <si>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</si>
  <si>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</si>
  <si>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</si>
  <si>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</si>
  <si>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</si>
  <si>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</si>
  <si>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</si>
  <si>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</si>
  <si>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</si>
  <si>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</si>
  <si>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</si>
  <si>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</si>
  <si>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</si>
  <si>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</si>
  <si>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</si>
  <si>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</si>
  <si>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</si>
  <si>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</si>
  <si>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</si>
  <si>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</si>
  <si>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</si>
  <si>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</si>
  <si>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</si>
  <si>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</si>
  <si>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</si>
  <si>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</si>
  <si>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</si>
  <si>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</si>
  <si>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</si>
  <si>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</si>
  <si>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</si>
  <si>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</si>
  <si>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</si>
  <si>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</si>
  <si>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</si>
  <si>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</si>
  <si>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</si>
  <si>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</si>
  <si>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</si>
  <si>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</si>
  <si>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</si>
  <si>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</si>
  <si>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</si>
  <si>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</si>
  <si>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</si>
  <si>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</si>
  <si>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</si>
  <si>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</si>
  <si>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</si>
  <si>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</si>
  <si>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</si>
  <si>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</si>
  <si>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</si>
  <si>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</si>
  <si>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</si>
  <si>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</si>
  <si>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</si>
  <si>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</si>
  <si>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</si>
  <si>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</si>
  <si>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</si>
  <si>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</si>
  <si>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</si>
  <si>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</si>
  <si>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</si>
  <si>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</si>
  <si>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</si>
  <si>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</si>
  <si>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</si>
  <si>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</si>
  <si>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</si>
  <si>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</si>
  <si>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</si>
  <si>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</si>
  <si>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</si>
  <si>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</si>
  <si>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</si>
  <si>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</si>
  <si>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</si>
  <si>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</si>
  <si>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</si>
  <si>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</si>
  <si>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</si>
  <si>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</si>
  <si>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</si>
  <si>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</si>
  <si>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</si>
  <si>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</si>
  <si>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</si>
  <si>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</si>
  <si>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</si>
  <si>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</si>
  <si>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</si>
  <si>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</si>
  <si>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</si>
  <si>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</si>
  <si>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</si>
  <si>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</si>
  <si>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</si>
  <si>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</si>
  <si>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</si>
  <si>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</si>
  <si>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</si>
  <si>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</si>
  <si>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</si>
  <si>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</si>
  <si>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</si>
  <si>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</si>
  <si>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</si>
  <si>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</si>
  <si>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</si>
  <si>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</si>
  <si>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</si>
  <si>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</si>
  <si>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</si>
  <si>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</si>
  <si>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</si>
  <si>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</si>
  <si>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</si>
  <si>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</si>
  <si>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</si>
  <si>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</si>
  <si>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</si>
  <si>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</si>
  <si>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</si>
  <si>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</si>
  <si>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</si>
  <si>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</si>
  <si>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</si>
  <si>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</si>
  <si>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</si>
  <si>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</si>
  <si>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</si>
  <si>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</si>
  <si>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</si>
  <si>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</si>
  <si>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</si>
  <si>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</si>
  <si>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</si>
  <si>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</si>
  <si>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</si>
  <si>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</si>
  <si>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</si>
  <si>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</si>
  <si>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</si>
  <si>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</si>
  <si>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</si>
  <si>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</si>
  <si>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</si>
  <si>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</si>
  <si>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</si>
  <si>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</si>
  <si>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</si>
  <si>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</si>
  <si>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</si>
  <si>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</si>
  <si>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</si>
  <si>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</si>
  <si>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</si>
  <si>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</si>
  <si>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</si>
  <si>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</si>
  <si>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</si>
  <si>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</si>
  <si>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</si>
  <si>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</si>
  <si>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</si>
  <si>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</si>
  <si>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</si>
  <si>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</si>
  <si>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</si>
  <si>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</si>
  <si>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</si>
  <si>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</si>
  <si>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</si>
  <si>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</si>
  <si>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</si>
  <si>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</si>
  <si>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</si>
  <si>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</si>
  <si>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</si>
  <si>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</si>
  <si>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</si>
  <si>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</si>
  <si>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</si>
  <si>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</si>
  <si>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</si>
  <si>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</si>
  <si>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</si>
  <si>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</si>
  <si>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</si>
  <si>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</si>
  <si>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</si>
  <si>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</si>
  <si>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</si>
  <si>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</si>
  <si>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</si>
  <si>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</si>
  <si>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</si>
  <si>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</si>
  <si>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</si>
  <si>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</si>
  <si>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</si>
  <si>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</si>
  <si>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</si>
  <si>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</si>
  <si>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</si>
  <si>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</si>
  <si>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</si>
  <si>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</si>
  <si>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</si>
  <si>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</si>
  <si>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</si>
  <si>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</si>
  <si>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</si>
  <si>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</si>
  <si>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</si>
  <si>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</si>
  <si>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</si>
  <si>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</si>
  <si>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</si>
  <si>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</si>
  <si>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</si>
  <si>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</si>
  <si>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</si>
  <si>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</si>
  <si>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</si>
  <si>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</si>
  <si>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</si>
  <si>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</si>
  <si>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</si>
  <si>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</si>
  <si>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</si>
  <si>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</si>
  <si>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</si>
  <si>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</si>
  <si>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</si>
  <si>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</si>
  <si>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</si>
  <si>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</si>
  <si>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</si>
  <si>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</si>
  <si>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</si>
  <si>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</si>
  <si>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</si>
  <si>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</si>
  <si>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</si>
  <si>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</si>
  <si>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</si>
  <si>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</si>
  <si>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</si>
  <si>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</si>
  <si>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</si>
  <si>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</si>
  <si>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</si>
  <si>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</si>
  <si>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</si>
  <si>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</si>
  <si>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</si>
  <si>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</si>
  <si>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</si>
  <si>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</si>
  <si>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</si>
  <si>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</si>
  <si>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</si>
  <si>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</si>
  <si>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</si>
  <si>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</si>
  <si>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</si>
  <si>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</si>
  <si>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</si>
  <si>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</si>
  <si>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</si>
  <si>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</si>
  <si>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</si>
  <si>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</si>
  <si>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</si>
  <si>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</si>
  <si>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</si>
  <si>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</si>
  <si>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</si>
  <si>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</si>
  <si>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</si>
  <si>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</si>
  <si>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</si>
  <si>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</si>
  <si>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</si>
  <si>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</si>
  <si>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</si>
  <si>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</si>
  <si>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</si>
  <si>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</si>
  <si>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</si>
  <si>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</si>
  <si>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</si>
  <si>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</si>
  <si>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</si>
  <si>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</si>
  <si>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</si>
  <si>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</si>
  <si>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</si>
  <si>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</si>
  <si>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</si>
  <si>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</si>
  <si>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</si>
  <si>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</si>
  <si>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</si>
  <si>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</si>
  <si>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</si>
  <si>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</si>
  <si>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</si>
  <si>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</si>
  <si>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</si>
  <si>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</si>
  <si>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</si>
  <si>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</si>
  <si>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</si>
  <si>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</si>
  <si>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</si>
  <si>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</si>
  <si>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</si>
  <si>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</si>
  <si>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</si>
  <si>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</si>
  <si>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</si>
  <si>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</si>
  <si>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</si>
  <si>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</si>
  <si>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</si>
  <si>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</si>
  <si>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</si>
  <si>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</si>
  <si>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</si>
  <si>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</si>
  <si>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</si>
  <si>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</si>
  <si>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</si>
  <si>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</si>
  <si>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</si>
  <si>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</si>
  <si>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</si>
  <si>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</si>
  <si>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</si>
  <si>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</si>
  <si>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</si>
  <si>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</si>
  <si>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</si>
  <si>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</si>
  <si>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</si>
  <si>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</si>
  <si>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</si>
  <si>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</si>
  <si>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</si>
  <si>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</si>
  <si>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</si>
  <si>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</si>
  <si>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</si>
  <si>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</si>
  <si>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</si>
  <si>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</si>
  <si>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</si>
  <si>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</si>
  <si>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</si>
  <si>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</si>
  <si>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</si>
  <si>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</si>
  <si>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</si>
  <si>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</si>
  <si>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</si>
  <si>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</si>
  <si>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</si>
  <si>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</si>
  <si>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</si>
  <si>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</si>
  <si>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</si>
  <si>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</si>
  <si>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</si>
  <si>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</si>
  <si>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</si>
  <si>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</si>
  <si>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</si>
  <si>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</si>
  <si>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</si>
  <si>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</si>
  <si>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</si>
  <si>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</si>
  <si>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</si>
  <si>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</si>
  <si>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</si>
  <si>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</si>
  <si>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</si>
  <si>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</si>
  <si>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</si>
  <si>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</si>
  <si>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</si>
  <si>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</si>
  <si>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</si>
  <si>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</si>
  <si>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</si>
  <si>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</si>
  <si>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</si>
  <si>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</si>
  <si>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</si>
  <si>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</si>
  <si>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</si>
  <si>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</si>
  <si>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</si>
  <si>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</si>
  <si>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</si>
  <si>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</si>
  <si>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</si>
  <si>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</si>
  <si>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</si>
  <si>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</si>
  <si>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</si>
  <si>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</si>
  <si>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</si>
  <si>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</si>
  <si>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</si>
  <si>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</si>
  <si>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</si>
  <si>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</si>
  <si>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</si>
  <si>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</si>
  <si>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</si>
  <si>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</si>
  <si>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</si>
  <si>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</si>
  <si>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</si>
  <si>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</si>
  <si>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</si>
  <si>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</si>
  <si>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</si>
  <si>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</si>
  <si>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</si>
  <si>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</si>
  <si>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</si>
  <si>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</si>
  <si>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</si>
  <si>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</si>
  <si>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</si>
  <si>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</si>
  <si>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</si>
  <si>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</si>
  <si>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</si>
  <si>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</si>
  <si>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</si>
  <si>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</si>
  <si>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</si>
  <si>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</si>
  <si>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</si>
  <si>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</si>
  <si>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</si>
  <si>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</si>
  <si>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</si>
  <si>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</si>
  <si>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</si>
  <si>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</si>
  <si>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</si>
  <si>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</si>
  <si>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</si>
  <si>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</si>
  <si>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</si>
  <si>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</si>
  <si>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</si>
  <si>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</si>
  <si>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</si>
  <si>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</si>
  <si>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</si>
  <si>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</si>
  <si>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</si>
  <si>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</si>
  <si>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</si>
  <si>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</si>
  <si>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</si>
  <si>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</si>
  <si>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</si>
  <si>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</si>
  <si>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</si>
  <si>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</si>
  <si>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</si>
  <si>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</si>
  <si>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</si>
  <si>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</si>
  <si>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</si>
  <si>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</si>
  <si>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</si>
  <si>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</si>
  <si>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</si>
  <si>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</si>
  <si>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</si>
  <si>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</si>
  <si>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</si>
  <si>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</si>
  <si>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</si>
  <si>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</si>
  <si>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</si>
  <si>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</si>
  <si>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</si>
  <si>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</si>
  <si>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</si>
  <si>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</si>
  <si>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</si>
  <si>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</si>
  <si>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</si>
  <si>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</si>
  <si>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</si>
  <si>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</si>
  <si>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</si>
  <si>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</si>
  <si>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</si>
  <si>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</si>
  <si>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</si>
  <si>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</si>
  <si>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</si>
  <si>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</si>
  <si>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</si>
  <si>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</si>
  <si>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</si>
  <si>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</si>
  <si>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</si>
  <si>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</si>
  <si>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</si>
  <si>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</si>
  <si>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</si>
  <si>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</si>
  <si>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</si>
  <si>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</si>
  <si>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</si>
  <si>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</si>
  <si>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</si>
  <si>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</si>
  <si>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</si>
  <si>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</si>
  <si>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</si>
  <si>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</si>
  <si>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</si>
  <si>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</si>
  <si>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</si>
  <si>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</si>
  <si>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</si>
  <si>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</si>
  <si>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</si>
  <si>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</si>
  <si>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</si>
  <si>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</si>
  <si>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</si>
  <si>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</si>
  <si>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</si>
  <si>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</si>
  <si>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</si>
  <si>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</si>
  <si>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</si>
  <si>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</si>
  <si>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</si>
  <si>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</si>
  <si>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</si>
  <si>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</si>
  <si>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</si>
  <si>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</si>
  <si>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</si>
  <si>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</si>
  <si>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</si>
  <si>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</si>
  <si>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</si>
  <si>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</si>
  <si>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</si>
  <si>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</si>
  <si>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</si>
  <si>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</si>
  <si>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</si>
  <si>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</si>
  <si>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</si>
  <si>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</si>
  <si>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</si>
  <si>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</si>
  <si>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</si>
  <si>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</si>
  <si>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</si>
  <si>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</si>
  <si>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</si>
  <si>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</si>
  <si>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</si>
  <si>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</si>
  <si>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</si>
  <si>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</si>
  <si>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</si>
  <si>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</si>
  <si>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</si>
  <si>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</si>
  <si>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</si>
  <si>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</si>
  <si>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</si>
  <si>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</si>
  <si>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</si>
  <si>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</si>
  <si>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</si>
  <si>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</si>
  <si>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</si>
  <si>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</si>
  <si>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</si>
  <si>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</si>
  <si>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</si>
  <si>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</si>
  <si>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</si>
  <si>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</si>
  <si>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</si>
  <si>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</si>
  <si>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</si>
  <si>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</si>
  <si>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</si>
  <si>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</si>
  <si>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</si>
  <si>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</si>
  <si>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</si>
  <si>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</si>
  <si>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</si>
  <si>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</si>
  <si>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</si>
  <si>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</si>
  <si>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</si>
  <si>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</si>
  <si>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</si>
  <si>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</si>
  <si>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</si>
  <si>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</si>
  <si>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</si>
  <si>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</si>
  <si>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</si>
  <si>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</si>
  <si>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</si>
  <si>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</si>
  <si>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</si>
  <si>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</si>
  <si>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</si>
  <si>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</si>
  <si>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</si>
  <si>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</si>
  <si>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</si>
  <si>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</si>
  <si>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</si>
  <si>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</si>
  <si>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</si>
  <si>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</si>
  <si>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</si>
  <si>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</si>
  <si>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</si>
  <si>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</si>
  <si>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</si>
  <si>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</si>
  <si>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</si>
  <si>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</si>
  <si>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</si>
  <si>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</si>
  <si>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</si>
  <si>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</si>
  <si>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</si>
  <si>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</si>
  <si>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</si>
  <si>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</si>
  <si>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</si>
  <si>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</si>
  <si>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</si>
  <si>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</si>
  <si>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</si>
  <si>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</si>
  <si>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</si>
  <si>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</si>
  <si>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</si>
  <si>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</si>
  <si>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</si>
  <si>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</si>
  <si>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</si>
  <si>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</si>
  <si>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</si>
  <si>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</si>
  <si>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</si>
  <si>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</si>
  <si>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</si>
  <si>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</si>
  <si>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</si>
  <si>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</si>
  <si>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</si>
  <si>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</si>
  <si>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</si>
  <si>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</si>
  <si>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</si>
  <si>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</si>
  <si>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</si>
  <si>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</si>
  <si>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</si>
  <si>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</si>
  <si>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</si>
  <si>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</si>
  <si>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</si>
  <si>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</si>
  <si>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</si>
  <si>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</si>
  <si>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</si>
  <si>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</si>
  <si>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</si>
  <si>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</si>
  <si>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</si>
  <si>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</si>
  <si>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</si>
  <si>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</si>
  <si>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</si>
  <si>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</si>
  <si>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</si>
  <si>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</si>
  <si>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</si>
  <si>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</si>
  <si>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</si>
  <si>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</si>
  <si>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</si>
  <si>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</si>
  <si>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</si>
  <si>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</si>
  <si>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</si>
  <si>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</si>
  <si>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</si>
  <si>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</si>
  <si>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</si>
  <si>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</si>
  <si>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</si>
  <si>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</si>
  <si>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</si>
  <si>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</si>
  <si>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</si>
  <si>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</si>
  <si>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</si>
  <si>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</si>
  <si>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</si>
  <si>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</si>
  <si>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</si>
  <si>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</si>
  <si>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</si>
  <si>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</si>
  <si>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</si>
  <si>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</si>
  <si>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</si>
  <si>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</si>
  <si>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</si>
  <si>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</si>
  <si>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</si>
  <si>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</si>
  <si>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</si>
  <si>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</si>
  <si>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</si>
  <si>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</si>
  <si>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</si>
  <si>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</si>
  <si>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</si>
  <si>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</si>
  <si>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</si>
  <si>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</si>
  <si>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</si>
  <si>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</si>
  <si>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</si>
  <si>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</si>
  <si>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</si>
  <si>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</si>
  <si>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</si>
  <si>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</si>
  <si>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</si>
  <si>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</si>
  <si>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</si>
  <si>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</si>
  <si>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</si>
  <si>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</si>
  <si>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</si>
  <si>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</si>
  <si>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</si>
  <si>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</si>
  <si>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</si>
  <si>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</si>
  <si>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</si>
  <si>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</si>
  <si>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</si>
  <si>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</si>
  <si>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</si>
  <si>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</si>
  <si>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</si>
  <si>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</si>
  <si>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</si>
  <si>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</si>
  <si>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</si>
  <si>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</si>
  <si>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</si>
  <si>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</si>
  <si>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</si>
  <si>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</si>
  <si>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</si>
  <si>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</si>
  <si>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</si>
  <si>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</si>
  <si>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</si>
  <si>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</si>
  <si>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</si>
  <si>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</si>
  <si>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</si>
  <si>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</si>
  <si>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</si>
  <si>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</si>
  <si>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</si>
  <si>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</si>
  <si>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</si>
  <si>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</si>
  <si>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</si>
  <si>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</si>
  <si>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</si>
  <si>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</si>
  <si>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</si>
  <si>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</si>
  <si>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</si>
  <si>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</si>
  <si>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</si>
  <si>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</si>
  <si>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</si>
  <si>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</si>
  <si>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</si>
  <si>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</si>
  <si>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</si>
  <si>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</si>
  <si>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</si>
  <si>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</si>
  <si>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</si>
  <si>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</si>
  <si>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</si>
  <si>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</si>
  <si>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</si>
  <si>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</si>
  <si>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</si>
  <si>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</si>
  <si>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</si>
  <si>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</si>
  <si>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</si>
  <si>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</si>
  <si>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</si>
  <si>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</si>
  <si>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</si>
  <si>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</si>
  <si>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</si>
  <si>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</si>
  <si>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</si>
  <si>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</si>
  <si>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</si>
  <si>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</si>
  <si>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</si>
  <si>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</si>
  <si>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</si>
  <si>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</si>
  <si>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</si>
  <si>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</si>
  <si>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</si>
  <si>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</si>
  <si>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</si>
  <si>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</si>
  <si>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</si>
  <si>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</si>
  <si>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</si>
  <si>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</si>
  <si>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</si>
  <si>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</si>
  <si>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</si>
  <si>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</si>
  <si>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</si>
  <si>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</si>
  <si>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</si>
  <si>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</si>
  <si>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</si>
  <si>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</si>
  <si>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</si>
  <si>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</si>
  <si>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</si>
  <si>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</si>
  <si>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</si>
  <si>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</si>
  <si>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</si>
  <si>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</si>
  <si>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</si>
  <si>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</si>
  <si>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</si>
  <si>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</si>
  <si>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</si>
  <si>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</si>
  <si>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</si>
  <si>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</si>
  <si>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</si>
  <si>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</si>
  <si>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</si>
  <si>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</si>
  <si>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</si>
  <si>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</si>
  <si>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</si>
  <si>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</si>
  <si>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</si>
  <si>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</si>
  <si>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</si>
  <si>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</si>
  <si>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</si>
  <si>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</si>
  <si>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</si>
  <si>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</si>
  <si>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</si>
  <si>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</si>
  <si>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</si>
  <si>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</si>
  <si>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</si>
  <si>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</si>
  <si>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</si>
  <si>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</si>
  <si>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</si>
  <si>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</si>
  <si>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</si>
  <si>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</si>
  <si>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</si>
  <si>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</si>
  <si>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</si>
  <si>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</si>
  <si>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</si>
  <si>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</si>
  <si>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</si>
  <si>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</si>
  <si>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</si>
  <si>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</si>
  <si>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</si>
  <si>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</si>
  <si>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</si>
  <si>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</si>
  <si>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</si>
  <si>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</si>
  <si>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</si>
  <si>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</si>
  <si>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</si>
  <si>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</si>
  <si>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</si>
  <si>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</si>
  <si>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</si>
  <si>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</si>
  <si>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</si>
  <si>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</si>
  <si>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</si>
  <si>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</si>
  <si>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</si>
  <si>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</si>
  <si>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</si>
  <si>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</si>
  <si>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</si>
  <si>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</si>
  <si>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</si>
  <si>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</si>
  <si>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</si>
  <si>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</si>
  <si>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</si>
  <si>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</si>
  <si>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</si>
  <si>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</si>
  <si>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</si>
  <si>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</si>
  <si>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</si>
  <si>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</si>
  <si>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</si>
  <si>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</si>
  <si>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</si>
  <si>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</si>
  <si>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</si>
  <si>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</si>
  <si>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</si>
  <si>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</si>
  <si>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</si>
  <si>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</si>
  <si>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</si>
  <si>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</si>
  <si>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</si>
  <si>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</si>
  <si>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</si>
  <si>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</si>
  <si>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</si>
  <si>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</si>
  <si>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</si>
  <si>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</si>
  <si>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</si>
  <si>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</si>
  <si>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</si>
  <si>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</si>
  <si>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</si>
  <si>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</si>
  <si>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</si>
  <si>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</si>
  <si>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</si>
  <si>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</si>
  <si>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</si>
  <si>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</si>
  <si>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</si>
  <si>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</si>
  <si>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</si>
  <si>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</si>
  <si>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</si>
  <si>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</si>
  <si>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</si>
  <si>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</si>
  <si>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</si>
  <si>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</si>
  <si>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</si>
  <si>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</si>
  <si>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</si>
  <si>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</si>
  <si>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</si>
  <si>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</si>
  <si>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</si>
  <si>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</si>
  <si>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</si>
  <si>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</si>
  <si>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</si>
  <si>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</si>
  <si>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</si>
  <si>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</si>
  <si>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</si>
  <si>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</si>
  <si>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</si>
  <si>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</si>
  <si>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</si>
  <si>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</si>
  <si>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</si>
  <si>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</si>
  <si>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</si>
  <si>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</si>
  <si>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</si>
  <si>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</si>
  <si>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</si>
  <si>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</si>
  <si>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</si>
  <si>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</si>
  <si>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</si>
  <si>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</si>
  <si>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</si>
  <si>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</si>
  <si>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</si>
  <si>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</si>
  <si>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</si>
  <si>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</si>
  <si>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</si>
  <si>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</si>
  <si>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</si>
  <si>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</si>
  <si>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</si>
  <si>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</si>
  <si>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</si>
  <si>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</si>
  <si>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</si>
  <si>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</si>
  <si>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</si>
  <si>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</si>
  <si>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</si>
  <si>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</si>
  <si>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</si>
  <si>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</si>
  <si>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</si>
  <si>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</si>
  <si>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</si>
  <si>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</si>
  <si>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</si>
  <si>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</si>
  <si>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</si>
  <si>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</si>
  <si>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</si>
  <si>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</si>
  <si>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</si>
  <si>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</si>
  <si>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</si>
  <si>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</si>
  <si>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</si>
  <si>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</si>
  <si>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</si>
  <si>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</si>
  <si>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</si>
  <si>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</si>
  <si>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</si>
  <si>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</si>
  <si>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</si>
  <si>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</si>
  <si>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</si>
  <si>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</si>
  <si>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</si>
  <si>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</si>
  <si>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</si>
  <si>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</si>
  <si>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</si>
  <si>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</si>
  <si>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</si>
  <si>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</si>
  <si>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</si>
  <si>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</si>
  <si>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</si>
  <si>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</si>
  <si>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</si>
  <si>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</si>
  <si>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</si>
  <si>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</si>
  <si>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</si>
  <si>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</si>
  <si>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</si>
  <si>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</si>
  <si>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</si>
  <si>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</si>
  <si>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</si>
  <si>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</si>
  <si>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</si>
  <si>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</si>
  <si>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</si>
  <si>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</si>
  <si>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</si>
  <si>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</si>
  <si>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</si>
  <si>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</si>
  <si>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</si>
  <si>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</si>
  <si>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</si>
  <si>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</si>
  <si>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</si>
  <si>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</si>
  <si>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</si>
  <si>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</si>
  <si>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</si>
  <si>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</si>
  <si>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</si>
  <si>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</si>
  <si>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</si>
  <si>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</si>
  <si>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</si>
  <si>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</si>
  <si>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</si>
  <si>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</si>
  <si>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</si>
  <si>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</si>
  <si>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</si>
  <si>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</si>
  <si>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</si>
  <si>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</si>
  <si>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</si>
  <si>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</si>
  <si>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</si>
  <si>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</si>
  <si>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</si>
  <si>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</si>
  <si>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</si>
  <si>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</si>
  <si>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</si>
  <si>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</si>
  <si>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</si>
  <si>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</si>
  <si>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</si>
  <si>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</si>
  <si>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</si>
  <si>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</si>
  <si>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</si>
  <si>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</si>
  <si>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</si>
  <si>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</si>
  <si>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</si>
  <si>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</si>
  <si>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</si>
  <si>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</si>
  <si>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</si>
  <si>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</si>
  <si>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</si>
  <si>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</si>
  <si>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</si>
  <si>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</si>
  <si>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</si>
  <si>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</si>
  <si>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</si>
  <si>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</si>
  <si>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</si>
  <si>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</si>
  <si>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</si>
  <si>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</si>
  <si>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</si>
  <si>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</si>
  <si>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</si>
  <si>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</si>
  <si>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</si>
  <si>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</si>
  <si>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</si>
  <si>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</si>
  <si>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</si>
  <si>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</si>
  <si>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</si>
  <si>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</si>
  <si>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</si>
  <si>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</si>
  <si>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</si>
  <si>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</si>
  <si>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</si>
  <si>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</si>
  <si>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</si>
  <si>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</si>
  <si>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</si>
  <si>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</si>
  <si>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</si>
  <si>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</si>
  <si>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</si>
  <si>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</si>
  <si>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</si>
  <si>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</si>
  <si>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</si>
  <si>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</si>
  <si>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</si>
  <si>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</si>
  <si>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</si>
  <si>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</si>
  <si>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</si>
  <si>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</si>
  <si>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</si>
  <si>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</si>
  <si>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</si>
  <si>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</si>
  <si>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</si>
  <si>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</si>
  <si>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</si>
  <si>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</si>
  <si>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</si>
  <si>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</si>
  <si>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</si>
  <si>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</si>
  <si>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</si>
  <si>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</si>
  <si>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</si>
  <si>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</si>
  <si>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</si>
  <si>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</si>
  <si>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</si>
  <si>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</si>
  <si>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</si>
  <si>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</si>
  <si>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</si>
  <si>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</si>
  <si>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</si>
  <si>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</si>
  <si>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</si>
  <si>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</si>
  <si>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</si>
  <si>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</si>
  <si>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</si>
  <si>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</si>
  <si>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</si>
  <si>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</si>
  <si>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</si>
  <si>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</si>
  <si>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</si>
  <si>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</si>
  <si>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</si>
  <si>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</si>
  <si>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</si>
  <si>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</si>
  <si>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</si>
  <si>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</si>
  <si>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</si>
  <si>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</si>
  <si>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</si>
  <si>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</si>
  <si>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</si>
  <si>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</si>
  <si>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</si>
  <si>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</si>
  <si>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</si>
  <si>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</si>
  <si>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</si>
  <si>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</si>
  <si>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</si>
  <si>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</si>
  <si>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</si>
  <si>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</si>
  <si>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</si>
  <si>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</si>
  <si>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</si>
  <si>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</si>
  <si>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</si>
  <si>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</si>
  <si>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</si>
  <si>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</si>
  <si>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</si>
  <si>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</si>
  <si>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</si>
  <si>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</si>
  <si>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</si>
  <si>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</si>
  <si>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</si>
  <si>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</si>
  <si>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</si>
  <si>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</si>
  <si>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</si>
  <si>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</si>
  <si>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</si>
  <si>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</si>
  <si>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</si>
  <si>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</si>
  <si>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</si>
  <si>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</si>
  <si>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</si>
  <si>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</si>
  <si>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</si>
  <si>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</si>
  <si>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</si>
  <si>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</si>
  <si>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</si>
  <si>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</si>
  <si>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</si>
  <si>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</si>
  <si>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</si>
  <si>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</si>
  <si>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</si>
  <si>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</si>
  <si>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</si>
  <si>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</si>
  <si>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</si>
  <si>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</si>
  <si>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</si>
  <si>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</si>
  <si>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</si>
  <si>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</si>
  <si>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</si>
  <si>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</si>
  <si>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</si>
  <si>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</si>
  <si>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</si>
  <si>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</si>
  <si>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</si>
  <si>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</si>
  <si>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</si>
  <si>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</si>
  <si>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</si>
  <si>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</si>
  <si>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</si>
  <si>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</si>
  <si>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</si>
  <si>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</si>
  <si>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</si>
  <si>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</si>
  <si>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</si>
  <si>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</si>
  <si>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</si>
  <si>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</si>
  <si>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</si>
  <si>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</si>
  <si>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</si>
  <si>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</si>
  <si>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</si>
  <si>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</si>
  <si>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</si>
  <si>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</si>
  <si>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</si>
  <si>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</si>
  <si>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</si>
  <si>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</si>
  <si>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</si>
  <si>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</si>
  <si>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</si>
  <si>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</si>
  <si>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</si>
  <si>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</si>
  <si>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</si>
  <si>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</si>
  <si>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</si>
  <si>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</si>
  <si>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</si>
  <si>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</si>
  <si>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</si>
  <si>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</si>
  <si>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</si>
  <si>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</si>
  <si>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</si>
  <si>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</si>
  <si>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</si>
  <si>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</si>
  <si>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</si>
  <si>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</si>
  <si>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</si>
  <si>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</si>
  <si>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</si>
  <si>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</si>
  <si>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</si>
  <si>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</si>
  <si>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</si>
  <si>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</si>
  <si>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</si>
  <si>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</si>
  <si>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</si>
  <si>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</si>
  <si>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</si>
  <si>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</si>
  <si>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</si>
  <si>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</si>
  <si>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</si>
  <si>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</si>
  <si>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</si>
  <si>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</si>
  <si>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</si>
  <si>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</si>
  <si>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</si>
  <si>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</si>
  <si>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</si>
  <si>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</si>
  <si>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</si>
  <si>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</si>
  <si>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</si>
  <si>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</si>
  <si>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</si>
  <si>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</si>
  <si>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</si>
  <si>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</si>
  <si>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</si>
  <si>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</si>
  <si>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</si>
  <si>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</si>
  <si>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</si>
  <si>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</si>
  <si>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</si>
  <si>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</si>
  <si>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</si>
  <si>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</si>
  <si>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</si>
  <si>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</si>
  <si>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</si>
  <si>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</si>
  <si>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</si>
  <si>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</si>
  <si>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</si>
  <si>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</si>
  <si>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</si>
  <si>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</si>
  <si>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</si>
  <si>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</si>
  <si>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</si>
  <si>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</si>
  <si>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</si>
  <si>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</si>
  <si>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</si>
  <si>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</si>
  <si>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</si>
  <si>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</si>
  <si>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</si>
  <si>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</si>
  <si>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</si>
  <si>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</si>
  <si>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</si>
  <si>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</si>
  <si>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</si>
  <si>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</si>
  <si>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</si>
  <si>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</si>
  <si>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</si>
  <si>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</si>
  <si>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</si>
  <si>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</si>
  <si>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</si>
  <si>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</si>
  <si>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</si>
  <si>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</si>
  <si>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</si>
  <si>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</si>
  <si>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</si>
  <si>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</si>
  <si>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</si>
  <si>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</si>
  <si>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</si>
  <si>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</si>
  <si>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</si>
  <si>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</si>
  <si>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</si>
  <si>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</si>
  <si>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</si>
  <si>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</si>
  <si>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</si>
  <si>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</si>
  <si>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</si>
  <si>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</si>
  <si>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</si>
  <si>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</si>
  <si>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</si>
  <si>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</si>
  <si>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</si>
  <si>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</si>
  <si>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</si>
  <si>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</si>
  <si>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</si>
  <si>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</si>
  <si>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</si>
  <si>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</si>
  <si>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</si>
  <si>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</si>
  <si>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</si>
  <si>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</si>
  <si>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</si>
  <si>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</si>
  <si>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</si>
  <si>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</si>
  <si>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</si>
  <si>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</si>
  <si>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</si>
  <si>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</si>
  <si>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</si>
  <si>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</si>
  <si>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</si>
  <si>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</si>
  <si>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</si>
  <si>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</si>
  <si>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</si>
  <si>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</si>
  <si>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</si>
  <si>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</si>
  <si>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</si>
  <si>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</si>
  <si>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</si>
  <si>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</si>
  <si>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</si>
  <si>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</si>
  <si>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</si>
  <si>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</si>
  <si>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</si>
  <si>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</si>
  <si>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</si>
  <si>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</si>
  <si>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</si>
  <si>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</si>
  <si>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</si>
  <si>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</si>
  <si>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</si>
  <si>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</si>
  <si>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</si>
  <si>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</si>
  <si>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</si>
  <si>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</si>
  <si>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</si>
  <si>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</si>
  <si>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</si>
  <si>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</si>
  <si>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</si>
  <si>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</si>
  <si>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</si>
  <si>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</si>
  <si>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</si>
  <si>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</si>
  <si>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</si>
  <si>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</si>
  <si>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</si>
  <si>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</si>
  <si>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</si>
  <si>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</si>
  <si>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</si>
  <si>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</si>
  <si>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</si>
  <si>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</si>
  <si>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</si>
  <si>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</si>
  <si>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</si>
  <si>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</si>
  <si>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</si>
  <si>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</si>
  <si>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</si>
  <si>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</si>
  <si>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</si>
  <si>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</si>
  <si>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</si>
  <si>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</si>
  <si>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</si>
  <si>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</si>
  <si>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</si>
  <si>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</si>
  <si>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</si>
  <si>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</si>
  <si>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</si>
  <si>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</si>
  <si>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</si>
  <si>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</si>
  <si>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</si>
  <si>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</si>
  <si>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</si>
  <si>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</si>
  <si>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</si>
  <si>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</si>
  <si>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</si>
  <si>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</si>
  <si>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</si>
  <si>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</si>
  <si>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</si>
  <si>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</si>
  <si>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</si>
  <si>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</si>
  <si>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</si>
  <si>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</si>
  <si>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</si>
  <si>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</si>
  <si>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</si>
  <si>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</si>
  <si>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</si>
  <si>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</si>
  <si>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</si>
  <si>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</si>
  <si>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</si>
  <si>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</si>
  <si>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</si>
  <si>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</si>
  <si>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</si>
  <si>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</si>
  <si>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</si>
  <si>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</si>
  <si>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</si>
  <si>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</si>
  <si>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</si>
  <si>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</si>
  <si>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</si>
  <si>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</si>
  <si>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</si>
  <si>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</si>
  <si>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</si>
  <si>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</si>
  <si>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</si>
  <si>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</si>
  <si>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</si>
  <si>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</si>
  <si>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</si>
  <si>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</si>
  <si>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</si>
  <si>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</si>
  <si>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</si>
  <si>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</si>
  <si>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</si>
  <si>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</si>
  <si>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</si>
  <si>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</si>
  <si>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</si>
  <si>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</si>
  <si>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</si>
  <si>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</si>
  <si>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</si>
  <si>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</si>
  <si>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</si>
  <si>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</si>
  <si>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</si>
  <si>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</si>
  <si>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</si>
  <si>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</si>
  <si>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</si>
  <si>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</si>
  <si>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</si>
  <si>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</si>
  <si>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</si>
  <si>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</si>
  <si>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</si>
  <si>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</si>
  <si>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</si>
  <si>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</si>
  <si>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</si>
  <si>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</si>
  <si>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</si>
  <si>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</si>
  <si>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</si>
  <si>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</si>
  <si>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</si>
  <si>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</si>
  <si>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</si>
  <si>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</si>
  <si>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</si>
  <si>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</si>
  <si>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</si>
  <si>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</si>
  <si>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</si>
  <si>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</si>
  <si>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</si>
  <si>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</si>
  <si>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</si>
  <si>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</si>
  <si>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</si>
  <si>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</si>
  <si>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</si>
  <si>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</si>
  <si>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</si>
  <si>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</si>
  <si>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</si>
  <si>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</si>
  <si>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</si>
  <si>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</si>
  <si>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</si>
  <si>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</si>
  <si>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</si>
  <si>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</si>
  <si>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</si>
  <si>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</si>
  <si>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</si>
  <si>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</si>
  <si>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</si>
  <si>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</si>
  <si>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</si>
  <si>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</si>
  <si>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</si>
  <si>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</si>
  <si>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</si>
  <si>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</si>
  <si>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</si>
  <si>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</si>
  <si>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</si>
  <si>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</si>
  <si>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</si>
  <si>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</si>
  <si>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</si>
  <si>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</si>
  <si>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</si>
  <si>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</si>
  <si>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</si>
  <si>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</si>
  <si>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</si>
  <si>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</si>
  <si>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</si>
  <si>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</si>
  <si>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</si>
  <si>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</si>
  <si>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</si>
  <si>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</si>
  <si>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</si>
  <si>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</si>
  <si>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</si>
  <si>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</si>
  <si>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</si>
  <si>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</si>
  <si>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</si>
  <si>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</si>
  <si>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</si>
  <si>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</si>
  <si>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</si>
  <si>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</si>
  <si>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</si>
  <si>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</si>
  <si>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</si>
  <si>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</si>
  <si>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</si>
  <si>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</si>
  <si>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</si>
  <si>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</si>
  <si>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</si>
  <si>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</si>
  <si>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</si>
  <si>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</si>
  <si>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</si>
  <si>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</si>
  <si>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</si>
  <si>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</si>
  <si>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</si>
  <si>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</si>
  <si>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</si>
  <si>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</si>
  <si>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</si>
  <si>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</si>
  <si>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</si>
  <si>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</si>
  <si>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</si>
  <si>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</si>
  <si>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</si>
  <si>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</si>
  <si>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</si>
  <si>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</si>
  <si>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</si>
  <si>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</si>
  <si>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</si>
  <si>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</si>
  <si>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</si>
  <si>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</si>
  <si>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</si>
  <si>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</si>
  <si>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</si>
  <si>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</si>
  <si>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</si>
  <si>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</si>
  <si>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</si>
  <si>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</si>
  <si>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</si>
  <si>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</si>
  <si>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</si>
  <si>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</si>
  <si>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</si>
  <si>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</si>
  <si>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</si>
  <si>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</si>
  <si>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</si>
  <si>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</si>
  <si>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</si>
  <si>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</si>
  <si>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</si>
  <si>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</si>
  <si>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</si>
  <si>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</si>
  <si>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</si>
  <si>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</si>
  <si>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</si>
  <si>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</si>
  <si>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</si>
  <si>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</si>
  <si>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</si>
  <si>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</si>
  <si>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</si>
  <si>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</si>
  <si>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</si>
  <si>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</si>
  <si>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</si>
  <si>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</si>
  <si>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</si>
  <si>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</si>
  <si>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</si>
  <si>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</si>
  <si>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</si>
  <si>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</si>
  <si>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</si>
  <si>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</si>
  <si>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</si>
  <si>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</si>
  <si>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</si>
  <si>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</si>
  <si>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</si>
  <si>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</si>
  <si>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</si>
  <si>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</si>
  <si>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</si>
  <si>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</si>
  <si>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</si>
  <si>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</si>
  <si>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</si>
  <si>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</si>
  <si>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</si>
  <si>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</si>
  <si>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</si>
  <si>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</si>
  <si>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</si>
  <si>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</si>
  <si>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</si>
  <si>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</si>
  <si>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</si>
  <si>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</si>
  <si>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</si>
  <si>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</si>
  <si>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</si>
  <si>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</si>
  <si>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</si>
  <si>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</si>
  <si>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</si>
  <si>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</si>
  <si>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</si>
  <si>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</si>
  <si>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</si>
  <si>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</si>
  <si>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</si>
  <si>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</si>
  <si>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</si>
  <si>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</si>
  <si>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</si>
  <si>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</si>
  <si>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</si>
  <si>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</si>
  <si>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</si>
  <si>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</si>
  <si>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</si>
  <si>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</si>
  <si>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</si>
  <si>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</si>
  <si>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</si>
  <si>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</si>
  <si>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</si>
  <si>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</si>
  <si>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</si>
  <si>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</si>
  <si>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</si>
  <si>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</si>
  <si>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</si>
  <si>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</si>
  <si>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</si>
  <si>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</si>
  <si>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</si>
  <si>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</si>
  <si>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</si>
  <si>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</si>
  <si>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</si>
  <si>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</si>
  <si>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</si>
  <si>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</si>
  <si>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</si>
  <si>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</si>
  <si>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</si>
  <si>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</si>
  <si>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</si>
  <si>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</si>
  <si>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</si>
  <si>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</si>
  <si>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</si>
  <si>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</si>
  <si>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</si>
  <si>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</si>
  <si>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</si>
  <si>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</si>
  <si>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</si>
  <si>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</si>
  <si>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</si>
  <si>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</si>
  <si>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</si>
  <si>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</si>
  <si>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</si>
  <si>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</si>
  <si>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</si>
  <si>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</si>
  <si>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</si>
  <si>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</si>
  <si>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</si>
  <si>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</si>
  <si>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</si>
  <si>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</si>
  <si>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</si>
  <si>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</si>
  <si>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</si>
  <si>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</si>
  <si>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</si>
  <si>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</si>
  <si>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</si>
  <si>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</si>
  <si>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</si>
  <si>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</si>
  <si>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</si>
  <si>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</si>
  <si>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</si>
  <si>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</si>
  <si>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</si>
  <si>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</si>
  <si>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</si>
  <si>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</si>
  <si>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</si>
  <si>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</si>
  <si>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</si>
  <si>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</si>
  <si>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</si>
  <si>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</si>
  <si>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</si>
  <si>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</si>
  <si>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</si>
  <si>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</si>
  <si>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</si>
  <si>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</si>
  <si>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</si>
  <si>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</si>
  <si>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</si>
  <si>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</si>
  <si>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</si>
  <si>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</si>
  <si>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</si>
  <si>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</si>
  <si>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</si>
  <si>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</si>
  <si>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</si>
  <si>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</si>
  <si>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</si>
  <si>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</si>
  <si>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</si>
  <si>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</si>
  <si>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</si>
  <si>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</si>
  <si>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</si>
  <si>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</si>
  <si>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</si>
  <si>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</si>
  <si>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</si>
  <si>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</si>
  <si>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</si>
  <si>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</si>
  <si>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</si>
  <si>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</si>
  <si>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</si>
  <si>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</si>
  <si>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</si>
  <si>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</si>
  <si>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</si>
  <si>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</si>
  <si>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</si>
  <si>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</si>
  <si>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</si>
  <si>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</si>
  <si>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</si>
  <si>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</si>
  <si>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</si>
  <si>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</si>
  <si>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</si>
  <si>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</si>
  <si>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</si>
  <si>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</si>
  <si>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</si>
  <si>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</si>
  <si>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</si>
  <si>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</si>
  <si>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</si>
  <si>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</si>
  <si>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</si>
  <si>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</si>
  <si>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</si>
  <si>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</si>
  <si>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</si>
  <si>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</si>
  <si>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</si>
  <si>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</si>
  <si>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</si>
  <si>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</si>
  <si>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</si>
  <si>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</si>
  <si>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</si>
  <si>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</si>
  <si>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</si>
  <si>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</si>
  <si>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</si>
  <si>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</si>
  <si>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</si>
  <si>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</si>
  <si>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</si>
  <si>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</si>
  <si>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</si>
  <si>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</si>
  <si>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</si>
  <si>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</si>
  <si>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</si>
  <si>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</si>
  <si>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</si>
  <si>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</si>
  <si>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</si>
  <si>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</si>
  <si>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</si>
  <si>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</si>
  <si>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</si>
  <si>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</si>
  <si>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</si>
  <si>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</si>
  <si>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</si>
  <si>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</si>
  <si>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</si>
  <si>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</si>
  <si>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</si>
  <si>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</si>
  <si>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</si>
  <si>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</si>
  <si>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</si>
  <si>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</si>
  <si>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</si>
  <si>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</si>
  <si>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</si>
  <si>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</si>
  <si>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</si>
  <si>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</si>
  <si>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</si>
  <si>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</si>
  <si>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</si>
  <si>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</si>
  <si>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</si>
  <si>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</si>
  <si>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</si>
  <si>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</si>
  <si>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</si>
  <si>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</si>
  <si>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</si>
  <si>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</si>
  <si>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</si>
  <si>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</si>
  <si>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</si>
  <si>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</si>
  <si>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</si>
  <si>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</si>
  <si>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</si>
  <si>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</si>
  <si>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</si>
  <si>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</si>
  <si>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</si>
  <si>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</si>
  <si>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</si>
  <si>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</si>
  <si>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</si>
  <si>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</si>
  <si>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</si>
  <si>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</si>
  <si>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</si>
  <si>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</si>
  <si>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</si>
  <si>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</si>
  <si>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</si>
  <si>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</si>
  <si>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</si>
  <si>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</si>
  <si>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</si>
  <si>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</si>
  <si>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</si>
  <si>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</si>
  <si>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</si>
  <si>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</si>
  <si>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</si>
  <si>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</si>
  <si>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</si>
  <si>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</si>
  <si>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</si>
  <si>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</si>
  <si>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</si>
  <si>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</si>
  <si>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</si>
  <si>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</si>
  <si>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</si>
  <si>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</si>
  <si>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</si>
  <si>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</si>
  <si>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</si>
  <si>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</si>
  <si>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</si>
  <si>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</si>
  <si>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</si>
  <si>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</si>
  <si>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</si>
  <si>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</si>
  <si>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</si>
  <si>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</si>
  <si>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</si>
  <si>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</si>
  <si>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</si>
  <si>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</si>
  <si>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</si>
  <si>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</si>
  <si>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</si>
  <si>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</si>
  <si>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</si>
  <si>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</si>
  <si>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</si>
  <si>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</si>
  <si>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</si>
  <si>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</si>
  <si>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</si>
  <si>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</si>
  <si>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</si>
  <si>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</si>
  <si>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</si>
  <si>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</si>
  <si>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</si>
  <si>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</si>
  <si>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</si>
  <si>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</si>
  <si>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</si>
  <si>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</si>
  <si>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</si>
  <si>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</si>
  <si>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</si>
  <si>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</si>
  <si>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</si>
  <si>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</si>
  <si>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</si>
  <si>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</si>
  <si>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</si>
  <si>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</si>
  <si>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</si>
  <si>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</si>
  <si>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</si>
  <si>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</si>
  <si>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</si>
  <si>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</si>
  <si>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</si>
  <si>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</si>
  <si>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</si>
  <si>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</si>
  <si>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</si>
  <si>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</si>
  <si>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</si>
  <si>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</si>
  <si>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</si>
  <si>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</si>
  <si>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</si>
  <si>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</si>
  <si>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</si>
  <si>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</si>
  <si>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</si>
  <si>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</si>
  <si>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</si>
  <si>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</si>
  <si>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</si>
  <si>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</si>
  <si>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</si>
  <si>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</si>
  <si>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</si>
  <si>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</si>
  <si>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</si>
  <si>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</si>
  <si>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</si>
  <si>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</si>
  <si>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</si>
  <si>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</si>
  <si>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</si>
  <si>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</si>
  <si>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</si>
  <si>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</si>
  <si>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</si>
  <si>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</si>
  <si>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</si>
  <si>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</si>
  <si>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</si>
  <si>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</si>
  <si>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</si>
  <si>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</si>
  <si>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</si>
  <si>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</si>
  <si>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</si>
  <si>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</si>
  <si>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</si>
  <si>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</si>
  <si>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</si>
  <si>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</si>
  <si>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</si>
  <si>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</si>
  <si>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</si>
  <si>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</si>
  <si>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</si>
  <si>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</si>
  <si>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</si>
  <si>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</si>
  <si>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</si>
  <si>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</si>
  <si>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</si>
  <si>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</si>
  <si>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</si>
  <si>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</si>
  <si>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</si>
  <si>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</si>
  <si>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</si>
  <si>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</si>
  <si>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</si>
  <si>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</si>
  <si>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</si>
  <si>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</si>
  <si>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</si>
  <si>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</si>
  <si>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</si>
  <si>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</si>
  <si>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</si>
  <si>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</si>
  <si>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</si>
  <si>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</si>
  <si>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</si>
  <si>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</si>
  <si>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</si>
  <si>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</si>
  <si>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</si>
  <si>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</si>
  <si>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</si>
  <si>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</si>
  <si>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</si>
  <si>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</si>
  <si>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</si>
  <si>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</si>
  <si>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</si>
  <si>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</si>
  <si>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</si>
  <si>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</si>
  <si>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</si>
  <si>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</si>
  <si>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</si>
  <si>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</si>
  <si>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</si>
  <si>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</si>
  <si>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</si>
  <si>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</si>
  <si>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</si>
  <si>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</si>
  <si>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</si>
  <si>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</si>
  <si>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</si>
  <si>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</si>
  <si>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</si>
  <si>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</si>
  <si>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</si>
  <si>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</si>
  <si>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</si>
  <si>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</si>
  <si>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</si>
  <si>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</si>
  <si>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</si>
  <si>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</si>
  <si>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</si>
  <si>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</si>
  <si>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</si>
  <si>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</si>
  <si>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</si>
  <si>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</si>
  <si>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</si>
  <si>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</si>
  <si>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</si>
  <si>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</si>
  <si>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</si>
  <si>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</si>
  <si>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</si>
  <si>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</si>
  <si>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</si>
  <si>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</si>
  <si>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</si>
  <si>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</si>
  <si>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</si>
  <si>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</si>
  <si>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</si>
  <si>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</si>
  <si>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</si>
  <si>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</si>
  <si>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</si>
  <si>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</si>
  <si>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</si>
  <si>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</si>
  <si>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</si>
  <si>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</si>
  <si>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</si>
  <si>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</si>
  <si>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</si>
  <si>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</si>
  <si>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</si>
  <si>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</si>
  <si>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</si>
  <si>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</si>
  <si>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</si>
  <si>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</si>
  <si>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</si>
  <si>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</si>
  <si>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</si>
  <si>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</si>
  <si>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</si>
  <si>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</si>
  <si>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</si>
  <si>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</si>
  <si>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</si>
  <si>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</si>
  <si>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</si>
  <si>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</si>
  <si>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</si>
  <si>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</si>
  <si>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</si>
  <si>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</si>
  <si>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</si>
  <si>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</si>
  <si>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</si>
  <si>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</si>
  <si>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</si>
  <si>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</si>
  <si>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</si>
  <si>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</si>
  <si>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</si>
  <si>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</si>
  <si>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</si>
  <si>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</si>
  <si>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</si>
  <si>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</si>
  <si>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</si>
  <si>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</si>
  <si>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</si>
  <si>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</si>
  <si>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</si>
  <si>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</si>
  <si>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</si>
  <si>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</si>
  <si>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</si>
  <si>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</si>
  <si>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</si>
  <si>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</si>
  <si>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</si>
  <si>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</si>
  <si>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</si>
  <si>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</si>
  <si>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</si>
  <si>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</si>
  <si>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</si>
  <si>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</si>
  <si>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</si>
  <si>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</si>
  <si>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</si>
  <si>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</si>
  <si>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</si>
  <si>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</si>
  <si>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</si>
  <si>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</si>
  <si>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</si>
  <si>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</si>
  <si>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</si>
  <si>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</si>
  <si>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</si>
  <si>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</si>
  <si>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</si>
  <si>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</si>
  <si>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</si>
  <si>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</si>
  <si>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</si>
  <si>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</si>
  <si>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</si>
  <si>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</si>
  <si>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</si>
  <si>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</si>
  <si>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</si>
  <si>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</si>
  <si>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</si>
  <si>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</si>
  <si>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</si>
  <si>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</si>
  <si>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</si>
  <si>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</si>
  <si>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</si>
  <si>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</si>
  <si>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</si>
  <si>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</si>
  <si>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</si>
  <si>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</si>
  <si>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</si>
  <si>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</si>
  <si>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</si>
  <si>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</si>
  <si>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</si>
  <si>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</si>
  <si>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</si>
  <si>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</si>
  <si>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</si>
  <si>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</si>
  <si>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</si>
  <si>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</si>
  <si>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</si>
  <si>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</si>
  <si>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</si>
  <si>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</si>
  <si>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</si>
  <si>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</si>
  <si>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</si>
  <si>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</si>
  <si>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</si>
  <si>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</si>
  <si>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</si>
  <si>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</si>
  <si>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</si>
  <si>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</si>
  <si>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</si>
  <si>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</si>
  <si>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</si>
  <si>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</si>
  <si>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</si>
  <si>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</si>
  <si>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</si>
  <si>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</si>
  <si>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</si>
  <si>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</si>
  <si>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</si>
  <si>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</si>
  <si>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</si>
  <si>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</si>
  <si>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</si>
  <si>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</si>
  <si>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</si>
  <si>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</si>
  <si>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</si>
  <si>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</si>
  <si>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</si>
  <si>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</si>
  <si>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</si>
  <si>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</si>
  <si>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</si>
  <si>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</si>
  <si>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</si>
  <si>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</si>
  <si>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</si>
  <si>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</si>
  <si>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</si>
  <si>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</si>
  <si>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</si>
  <si>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</si>
  <si>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</si>
  <si>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</si>
  <si>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</si>
  <si>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</si>
  <si>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</si>
  <si>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</si>
  <si>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</si>
  <si>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</si>
  <si>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</si>
  <si>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</si>
  <si>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</si>
  <si>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</si>
  <si>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</si>
  <si>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</si>
  <si>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</si>
  <si>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</si>
  <si>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</si>
  <si>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</si>
  <si>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</si>
  <si>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</si>
  <si>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</si>
  <si>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</si>
  <si>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</si>
  <si>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</si>
  <si>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</si>
  <si>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</si>
  <si>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</si>
  <si>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</si>
  <si>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</si>
  <si>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</si>
  <si>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</si>
  <si>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</si>
  <si>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</si>
  <si>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</si>
  <si>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</si>
  <si>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</si>
  <si>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</si>
  <si>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</si>
  <si>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</si>
  <si>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</si>
  <si>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</si>
  <si>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</si>
  <si>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</si>
  <si>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</si>
  <si>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</si>
  <si>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</si>
  <si>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</si>
  <si>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</si>
  <si>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</si>
  <si>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</si>
  <si>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</si>
  <si>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</si>
  <si>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</si>
  <si>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</si>
  <si>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</si>
  <si>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</si>
  <si>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</si>
  <si>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</si>
  <si>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</si>
  <si>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</si>
  <si>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</si>
  <si>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</si>
  <si>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</si>
  <si>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</si>
  <si>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</si>
  <si>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</si>
  <si>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</si>
  <si>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</si>
  <si>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</si>
  <si>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</si>
  <si>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</si>
  <si>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</si>
  <si>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</si>
  <si>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</si>
  <si>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</si>
  <si>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</si>
  <si>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</si>
  <si>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</si>
  <si>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</si>
  <si>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</si>
  <si>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</si>
  <si>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</si>
  <si>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</si>
  <si>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</si>
  <si>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</si>
  <si>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</si>
  <si>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</si>
  <si>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</si>
  <si>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</si>
  <si>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</si>
  <si>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</si>
  <si>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</si>
  <si>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</si>
  <si>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</si>
  <si>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</si>
  <si>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</si>
  <si>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</si>
  <si>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</si>
  <si>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</si>
  <si>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</si>
  <si>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</si>
  <si>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</si>
  <si>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</si>
  <si>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</si>
  <si>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</si>
  <si>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</si>
  <si>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</si>
  <si>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</si>
  <si>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</si>
  <si>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</si>
  <si>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</si>
  <si>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</si>
  <si>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</si>
  <si>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</si>
  <si>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</si>
  <si>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</si>
  <si>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</si>
  <si>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</si>
  <si>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</si>
  <si>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</si>
  <si>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</si>
  <si>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</si>
  <si>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</si>
  <si>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</si>
  <si>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</si>
  <si>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</si>
  <si>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</si>
  <si>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</si>
  <si>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</si>
  <si>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</si>
  <si>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</si>
  <si>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</si>
  <si>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</si>
  <si>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</si>
  <si>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</si>
  <si>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</si>
  <si>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</si>
  <si>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</si>
  <si>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</si>
  <si>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</si>
  <si>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</si>
  <si>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</si>
  <si>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</si>
  <si>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</si>
  <si>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</si>
  <si>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</si>
  <si>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</si>
  <si>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</si>
  <si>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</si>
  <si>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</si>
  <si>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</si>
  <si>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</si>
  <si>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</si>
  <si>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</si>
  <si>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</si>
  <si>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</si>
  <si>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</si>
  <si>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</si>
  <si>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</si>
  <si>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</si>
  <si>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</si>
  <si>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</si>
  <si>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</si>
  <si>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</si>
  <si>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</si>
  <si>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</si>
  <si>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</si>
  <si>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</si>
  <si>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</si>
  <si>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</si>
  <si>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</si>
  <si>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</si>
  <si>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</si>
  <si>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</si>
  <si>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</si>
  <si>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</si>
  <si>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</si>
  <si>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</si>
  <si>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</si>
  <si>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</si>
  <si>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</si>
  <si>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</si>
  <si>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</si>
  <si>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</si>
  <si>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</si>
  <si>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</si>
  <si>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</si>
  <si>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</si>
  <si>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</si>
  <si>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</si>
  <si>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</si>
  <si>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</si>
  <si>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</si>
  <si>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</si>
  <si>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</si>
  <si>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</si>
  <si>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</si>
  <si>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</si>
  <si>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</si>
  <si>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</si>
  <si>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</si>
  <si>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</si>
  <si>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</si>
  <si>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</si>
  <si>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</si>
  <si>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</si>
  <si>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</si>
  <si>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</si>
  <si>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</si>
  <si>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</si>
  <si>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</si>
  <si>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</si>
  <si>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</si>
  <si>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</si>
  <si>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</si>
  <si>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</si>
  <si>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</si>
  <si>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</si>
  <si>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</si>
  <si>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</si>
  <si>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</si>
  <si>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</si>
  <si>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</si>
  <si>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</si>
  <si>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</si>
  <si>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</si>
  <si>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</si>
  <si>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</si>
  <si>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</si>
  <si>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</si>
  <si>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</si>
  <si>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</si>
  <si>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</si>
  <si>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</si>
  <si>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</si>
  <si>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</si>
  <si>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</si>
  <si>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</si>
  <si>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</si>
  <si>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</si>
  <si>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</si>
  <si>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</si>
  <si>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</si>
  <si>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</si>
  <si>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</si>
  <si>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</si>
  <si>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</si>
  <si>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</si>
  <si>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</si>
  <si>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</si>
  <si>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</si>
  <si>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</si>
  <si>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</si>
  <si>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</si>
  <si>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</si>
  <si>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</si>
  <si>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</si>
  <si>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</si>
  <si>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</si>
  <si>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</si>
  <si>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</si>
  <si>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</si>
  <si>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</si>
  <si>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</si>
  <si>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</si>
  <si>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</si>
  <si>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</si>
  <si>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</si>
  <si>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</si>
  <si>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</si>
  <si>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</si>
  <si>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</si>
  <si>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</si>
  <si>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</si>
  <si>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</si>
  <si>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</si>
  <si>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</si>
  <si>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</si>
  <si>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</si>
  <si>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</si>
  <si>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</si>
  <si>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</si>
  <si>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</si>
  <si>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</si>
  <si>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</si>
  <si>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</si>
  <si>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</si>
  <si>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</si>
  <si>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</si>
  <si>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</si>
  <si>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</si>
  <si>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</si>
  <si>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</si>
  <si>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</si>
  <si>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</si>
  <si>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</si>
  <si>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</si>
  <si>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</si>
  <si>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</si>
  <si>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</si>
  <si>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</si>
  <si>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</si>
  <si>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</si>
  <si>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</si>
  <si>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</si>
  <si>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</si>
  <si>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</si>
  <si>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</si>
  <si>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</si>
  <si>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</si>
  <si>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</si>
  <si>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</si>
  <si>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</si>
  <si>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</si>
  <si>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</si>
  <si>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</si>
  <si>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</si>
  <si>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</si>
  <si>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</si>
  <si>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</si>
  <si>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</si>
  <si>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</si>
  <si>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</si>
  <si>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</si>
  <si>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</si>
  <si>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</si>
  <si>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</si>
  <si>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</si>
  <si>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</si>
  <si>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</si>
  <si>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</si>
  <si>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</si>
  <si>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</si>
  <si>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</si>
  <si>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</si>
  <si>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</si>
  <si>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</si>
  <si>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</si>
  <si>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</si>
  <si>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</si>
  <si>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</si>
  <si>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</si>
  <si>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</si>
  <si>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</si>
  <si>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</si>
  <si>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</si>
  <si>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</si>
  <si>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</si>
  <si>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</si>
  <si>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</si>
  <si>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</si>
  <si>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</si>
  <si>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</si>
  <si>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</si>
  <si>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</si>
  <si>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</si>
  <si>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</si>
  <si>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</si>
  <si>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</si>
  <si>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</si>
  <si>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</si>
  <si>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</si>
  <si>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</si>
  <si>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</si>
  <si>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</si>
  <si>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</si>
  <si>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</si>
  <si>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</si>
  <si>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</si>
  <si>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</si>
  <si>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</si>
  <si>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</si>
  <si>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</si>
  <si>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</si>
  <si>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</si>
  <si>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</si>
  <si>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</si>
  <si>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</si>
  <si>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</si>
  <si>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</si>
  <si>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</si>
  <si>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</si>
  <si>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</si>
  <si>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</si>
  <si>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</si>
  <si>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</si>
  <si>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</si>
  <si>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</si>
  <si>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</si>
  <si>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</si>
  <si>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</si>
  <si>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</si>
  <si>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</si>
  <si>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</si>
  <si>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</si>
  <si>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</si>
  <si>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</si>
  <si>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</si>
  <si>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</si>
  <si>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</si>
  <si>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</si>
  <si>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</si>
  <si>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</si>
  <si>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</si>
  <si>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</si>
  <si>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</si>
  <si>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</si>
  <si>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</si>
  <si>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</si>
  <si>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</si>
  <si>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</si>
  <si>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</si>
  <si>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</si>
  <si>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</si>
  <si>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</si>
  <si>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</si>
  <si>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</si>
  <si>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</si>
  <si>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</si>
  <si>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</si>
  <si>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</si>
  <si>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</si>
  <si>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</si>
  <si>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</si>
  <si>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</si>
  <si>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</si>
  <si>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</si>
  <si>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</si>
  <si>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</si>
  <si>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</si>
  <si>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</si>
  <si>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</si>
  <si>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</si>
  <si>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</si>
  <si>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</si>
  <si>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</si>
  <si>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</si>
  <si>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</si>
  <si>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</si>
  <si>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</si>
  <si>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</si>
  <si>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</si>
  <si>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</si>
  <si>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</si>
  <si>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</si>
  <si>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</si>
  <si>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</si>
  <si>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</si>
  <si>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</si>
  <si>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</si>
  <si>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</si>
  <si>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</si>
  <si>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</si>
  <si>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</si>
  <si>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</si>
  <si>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</si>
  <si>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</si>
  <si>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</si>
  <si>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</si>
  <si>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</si>
  <si>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</si>
  <si>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</si>
  <si>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</si>
  <si>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</si>
  <si>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</si>
  <si>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</si>
  <si>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</si>
  <si>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</si>
  <si>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</si>
  <si>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</si>
  <si>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</si>
  <si>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</si>
  <si>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</si>
  <si>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</si>
  <si>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</si>
  <si>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</si>
  <si>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</si>
  <si>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</si>
  <si>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</si>
  <si>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</si>
  <si>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</si>
  <si>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</si>
  <si>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</si>
  <si>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</si>
  <si>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</si>
  <si>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</si>
  <si>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</si>
  <si>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</si>
  <si>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</si>
  <si>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</si>
  <si>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</si>
  <si>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</si>
  <si>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</si>
  <si>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</si>
  <si>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</si>
  <si>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</si>
  <si>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</si>
  <si>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</si>
  <si>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</si>
  <si>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</si>
  <si>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</si>
  <si>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</si>
  <si>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</si>
  <si>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</si>
  <si>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</si>
  <si>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</si>
  <si>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</si>
  <si>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</si>
  <si>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</si>
  <si>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</si>
  <si>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</si>
  <si>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</si>
  <si>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</si>
  <si>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</si>
  <si>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</si>
  <si>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</si>
  <si>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</si>
  <si>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</si>
  <si>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</si>
  <si>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</si>
  <si>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</si>
  <si>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</si>
  <si>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</si>
  <si>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</si>
  <si>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</si>
  <si>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</si>
  <si>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</si>
  <si>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</si>
  <si>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</si>
  <si>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</si>
  <si>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</si>
  <si>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</si>
  <si>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</si>
  <si>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</si>
  <si>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</si>
  <si>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</si>
  <si>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</si>
  <si>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</si>
  <si>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</si>
  <si>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</si>
  <si>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</si>
  <si>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</si>
  <si>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</si>
  <si>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</si>
  <si>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</si>
  <si>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</si>
  <si>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</si>
  <si>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</si>
  <si>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</si>
  <si>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</si>
  <si>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</si>
  <si>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</si>
  <si>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</si>
  <si>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</si>
  <si>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</si>
  <si>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</si>
  <si>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</si>
  <si>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</si>
  <si>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</si>
  <si>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</si>
  <si>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</si>
  <si>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</si>
  <si>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</si>
  <si>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</si>
  <si>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</si>
  <si>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</si>
  <si>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</si>
  <si>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</si>
  <si>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</si>
  <si>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</si>
  <si>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</si>
  <si>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</si>
  <si>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</si>
  <si>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</si>
  <si>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</si>
  <si>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</si>
  <si>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</si>
  <si>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</si>
  <si>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</si>
  <si>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</si>
  <si>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</si>
  <si>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</si>
  <si>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</si>
  <si>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</si>
  <si>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</si>
  <si>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</si>
  <si>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</si>
  <si>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</si>
  <si>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</si>
  <si>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</si>
  <si>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</si>
  <si>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</si>
  <si>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</si>
  <si>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</si>
  <si>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</si>
  <si>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</si>
  <si>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</si>
  <si>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</si>
  <si>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</si>
  <si>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</si>
  <si>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</si>
  <si>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</si>
  <si>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</si>
  <si>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</si>
  <si>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</si>
  <si>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</si>
  <si>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</si>
  <si>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</si>
  <si>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</si>
  <si>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</si>
  <si>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</si>
  <si>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</si>
  <si>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</si>
  <si>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</si>
  <si>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</si>
  <si>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</si>
  <si>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</si>
  <si>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</si>
  <si>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</si>
  <si>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</si>
  <si>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</si>
  <si>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</si>
  <si>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</si>
  <si>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</si>
  <si>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</si>
  <si>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</si>
  <si>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</si>
  <si>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</si>
  <si>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</si>
  <si>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</si>
  <si>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</si>
  <si>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</si>
  <si>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</si>
  <si>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</si>
  <si>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</si>
  <si>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</si>
  <si>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</si>
  <si>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</si>
  <si>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</si>
  <si>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</si>
  <si>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</si>
  <si>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</si>
  <si>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</si>
  <si>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</si>
  <si>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</si>
  <si>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</si>
  <si>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</si>
  <si>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</si>
  <si>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</si>
  <si>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</si>
  <si>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</si>
  <si>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</si>
  <si>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</si>
  <si>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</si>
  <si>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</si>
  <si>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</si>
  <si>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</si>
  <si>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</si>
  <si>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</si>
  <si>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</si>
  <si>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</si>
  <si>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</si>
  <si>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</si>
  <si>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</si>
  <si>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</si>
  <si>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</si>
  <si>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</si>
  <si>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</si>
  <si>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</si>
  <si>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</si>
  <si>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</si>
  <si>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</si>
  <si>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</si>
  <si>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</si>
  <si>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</si>
  <si>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</si>
  <si>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</si>
  <si>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</si>
  <si>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</si>
  <si>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</si>
  <si>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</si>
  <si>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</si>
  <si>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</si>
  <si>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</si>
  <si>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</si>
  <si>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</si>
  <si>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</si>
  <si>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</si>
  <si>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</si>
  <si>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</si>
  <si>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</si>
  <si>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</si>
  <si>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</si>
  <si>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</si>
  <si>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</si>
  <si>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</si>
  <si>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</si>
  <si>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</si>
  <si>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</si>
  <si>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</si>
  <si>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</si>
  <si>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</si>
  <si>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</si>
  <si>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</si>
  <si>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</si>
  <si>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</si>
  <si>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</si>
  <si>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</si>
  <si>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</si>
  <si>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</si>
  <si>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</si>
  <si>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</si>
  <si>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</si>
  <si>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</si>
  <si>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</si>
  <si>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</si>
  <si>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</si>
  <si>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</si>
  <si>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</si>
  <si>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</si>
  <si>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</si>
  <si>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</si>
  <si>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</si>
  <si>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</si>
  <si>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</si>
  <si>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</si>
  <si>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</si>
  <si>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</si>
  <si>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</si>
  <si>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</si>
  <si>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</si>
  <si>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</si>
  <si>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</si>
  <si>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</si>
  <si>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</si>
  <si>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</si>
  <si>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</si>
  <si>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</si>
  <si>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</si>
  <si>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</si>
  <si>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</si>
  <si>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</si>
  <si>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</si>
  <si>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</si>
  <si>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</si>
  <si>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</si>
  <si>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</si>
  <si>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</si>
  <si>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</si>
  <si>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</si>
  <si>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</si>
  <si>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</si>
  <si>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</si>
  <si>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</si>
  <si>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</si>
  <si>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</si>
  <si>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</si>
  <si>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</si>
  <si>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</si>
  <si>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</si>
  <si>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</si>
  <si>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</si>
  <si>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</si>
  <si>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</si>
  <si>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</si>
  <si>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</si>
  <si>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</si>
  <si>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</si>
  <si>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</si>
  <si>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</si>
  <si>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</si>
  <si>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</si>
  <si>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</si>
  <si>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</si>
  <si>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</si>
  <si>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</si>
  <si>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</si>
  <si>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</si>
  <si>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</si>
  <si>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</si>
  <si>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</si>
  <si>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</si>
  <si>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</si>
  <si>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</si>
  <si>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</si>
  <si>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</si>
  <si>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</si>
  <si>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</si>
  <si>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</si>
  <si>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</si>
  <si>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</si>
  <si>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</si>
  <si>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</si>
  <si>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</si>
  <si>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</si>
  <si>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</si>
  <si>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</si>
  <si>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</si>
  <si>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</si>
  <si>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</si>
  <si>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</si>
  <si>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</si>
  <si>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</si>
  <si>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</si>
  <si>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</si>
  <si>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</si>
  <si>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</si>
  <si>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</si>
  <si>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</si>
  <si>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</si>
  <si>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</si>
  <si>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</si>
  <si>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</si>
  <si>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</si>
  <si>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</si>
  <si>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</si>
  <si>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</si>
  <si>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</si>
  <si>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</si>
  <si>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</si>
  <si>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</si>
  <si>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</si>
  <si>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</si>
  <si>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</si>
  <si>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</si>
  <si>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</si>
  <si>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</si>
  <si>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</si>
  <si>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</si>
  <si>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</si>
  <si>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</si>
  <si>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</si>
  <si>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</si>
  <si>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</si>
  <si>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</si>
  <si>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</si>
  <si>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</si>
  <si>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</si>
  <si>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</si>
  <si>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</si>
  <si>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</si>
  <si>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</si>
  <si>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</si>
  <si>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</si>
  <si>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</si>
  <si>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</si>
  <si>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</si>
  <si>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</si>
  <si>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</si>
  <si>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</si>
  <si>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</si>
  <si>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</si>
  <si>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</si>
  <si>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</si>
  <si>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</si>
  <si>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</si>
  <si>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</si>
  <si>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</si>
  <si>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</si>
  <si>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</si>
  <si>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</si>
  <si>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</si>
  <si>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</si>
  <si>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</si>
  <si>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</si>
  <si>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</si>
  <si>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</si>
  <si>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</si>
  <si>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</si>
  <si>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</si>
  <si>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</si>
  <si>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</si>
  <si>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</si>
  <si>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</si>
  <si>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</si>
  <si>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</si>
  <si>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</si>
  <si>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</si>
  <si>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</si>
  <si>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</si>
  <si>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</si>
  <si>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</si>
  <si>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</si>
  <si>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</si>
  <si>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</si>
  <si>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</si>
  <si>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</si>
  <si>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</si>
  <si>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</si>
  <si>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</si>
  <si>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</si>
  <si>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</si>
  <si>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</si>
  <si>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</si>
  <si>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</si>
  <si>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</si>
  <si>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</si>
  <si>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</si>
  <si>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</si>
  <si>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</si>
  <si>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</si>
  <si>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</si>
  <si>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</si>
  <si>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</si>
  <si>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</si>
  <si>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</si>
  <si>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</si>
  <si>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</si>
  <si>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</si>
  <si>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</si>
  <si>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</si>
  <si>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</si>
  <si>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</si>
  <si>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</si>
  <si>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</si>
  <si>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</si>
  <si>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</si>
  <si>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</si>
  <si>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</si>
  <si>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</si>
  <si>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</si>
  <si>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</si>
  <si>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</si>
  <si>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</si>
  <si>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</si>
  <si>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</si>
  <si>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</si>
  <si>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</si>
  <si>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</si>
  <si>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</si>
  <si>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</si>
  <si>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</si>
  <si>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</si>
  <si>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</si>
  <si>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</si>
  <si>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</si>
  <si>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</si>
  <si>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</si>
  <si>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</si>
  <si>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</si>
  <si>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</si>
  <si>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</si>
  <si>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</si>
  <si>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</si>
  <si>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</si>
  <si>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</si>
  <si>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</si>
  <si>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</si>
  <si>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</si>
  <si>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</si>
  <si>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</si>
  <si>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</si>
  <si>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</si>
  <si>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</si>
  <si>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</si>
  <si>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</si>
  <si>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</si>
  <si>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</si>
  <si>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</si>
  <si>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</si>
  <si>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</si>
  <si>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</si>
  <si>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</si>
  <si>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</si>
  <si>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</si>
  <si>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</si>
  <si>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</si>
  <si>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</si>
  <si>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</si>
  <si>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</si>
  <si>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</si>
  <si>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</si>
  <si>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</si>
  <si>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</si>
  <si>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</si>
  <si>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</si>
  <si>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</si>
  <si>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</si>
  <si>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</si>
  <si>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</si>
  <si>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</si>
  <si>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</si>
  <si>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</si>
  <si>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</si>
  <si>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</si>
  <si>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</si>
  <si>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</si>
  <si>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</si>
  <si>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</si>
  <si>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</si>
  <si>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</si>
  <si>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</si>
  <si>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</si>
  <si>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</si>
  <si>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</si>
  <si>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</si>
  <si>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</si>
  <si>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</si>
  <si>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</si>
  <si>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</si>
  <si>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</si>
  <si>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</si>
  <si>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</si>
  <si>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</si>
  <si>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</si>
  <si>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</si>
  <si>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</si>
  <si>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</si>
  <si>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</si>
  <si>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</si>
  <si>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</si>
  <si>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</si>
  <si>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</si>
  <si>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</si>
  <si>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</si>
  <si>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</si>
  <si>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</si>
  <si>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</si>
  <si>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</si>
  <si>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</si>
  <si>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</si>
  <si>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</si>
  <si>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</si>
  <si>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</si>
  <si>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</si>
  <si>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</si>
  <si>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</si>
  <si>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</si>
  <si>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</si>
  <si>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</si>
  <si>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</si>
  <si>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</si>
  <si>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</si>
  <si>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</si>
  <si>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</si>
  <si>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</si>
  <si>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</si>
  <si>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</si>
  <si>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</si>
  <si>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</si>
  <si>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</si>
  <si>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</si>
  <si>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</si>
  <si>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</si>
  <si>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</si>
  <si>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</si>
  <si>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</si>
  <si>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</si>
  <si>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</si>
  <si>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</si>
  <si>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</si>
  <si>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</si>
  <si>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</si>
  <si>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</si>
  <si>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</si>
  <si>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</si>
  <si>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</si>
  <si>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</si>
  <si>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</si>
  <si>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</si>
  <si>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</si>
  <si>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</si>
  <si>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</si>
  <si>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</si>
  <si>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</si>
  <si>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</si>
  <si>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</si>
  <si>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</si>
  <si>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</si>
  <si>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</si>
  <si>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</si>
  <si>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</si>
  <si>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</si>
  <si>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</si>
  <si>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</si>
  <si>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</si>
  <si>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</si>
  <si>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</si>
  <si>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</si>
  <si>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</si>
  <si>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</si>
  <si>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</si>
  <si>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</si>
  <si>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</si>
  <si>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</si>
  <si>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</si>
  <si>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</si>
  <si>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</si>
  <si>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</si>
  <si>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</si>
  <si>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</si>
  <si>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</si>
  <si>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</si>
  <si>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</si>
  <si>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</si>
  <si>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</si>
  <si>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</si>
  <si>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</si>
  <si>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</si>
  <si>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</si>
  <si>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</si>
  <si>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</si>
  <si>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</si>
  <si>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</si>
  <si>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</si>
  <si>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</si>
  <si>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</si>
  <si>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</si>
  <si>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</si>
  <si>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</si>
  <si>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</si>
  <si>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</si>
  <si>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</si>
  <si>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</si>
  <si>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</si>
  <si>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</si>
  <si>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</si>
  <si>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</si>
  <si>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</si>
  <si>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</si>
  <si>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</si>
  <si>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</si>
  <si>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</si>
  <si>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</si>
  <si>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</si>
  <si>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</si>
  <si>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</si>
  <si>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</si>
  <si>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</si>
  <si>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</si>
  <si>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</si>
  <si>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</si>
  <si>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</si>
  <si>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</si>
  <si>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</si>
  <si>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</si>
  <si>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</si>
  <si>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</si>
  <si>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</si>
  <si>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</si>
  <si>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</si>
  <si>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</si>
  <si>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</si>
  <si>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</si>
  <si>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</si>
  <si>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</si>
  <si>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</si>
  <si>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</si>
  <si>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</si>
  <si>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</si>
  <si>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</si>
  <si>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</si>
  <si>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</si>
  <si>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</si>
  <si>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</si>
  <si>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</si>
  <si>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</si>
  <si>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</si>
  <si>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</si>
  <si>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</si>
  <si>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</si>
  <si>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</si>
  <si>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</si>
  <si>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</si>
  <si>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</si>
  <si>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</si>
  <si>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</si>
  <si>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</si>
  <si>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</si>
  <si>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</si>
  <si>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</si>
  <si>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</si>
  <si>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</si>
  <si>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</si>
  <si>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</si>
  <si>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</si>
  <si>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</si>
  <si>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</si>
  <si>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</si>
  <si>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</si>
  <si>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</si>
  <si>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</si>
  <si>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</si>
  <si>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</si>
  <si>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</si>
  <si>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</si>
  <si>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</si>
  <si>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</si>
  <si>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</si>
  <si>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</si>
  <si>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</si>
  <si>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</si>
  <si>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</si>
  <si>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</si>
  <si>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</si>
  <si>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</si>
  <si>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</si>
  <si>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</si>
  <si>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</si>
  <si>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</si>
  <si>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</si>
  <si>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</si>
  <si>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</si>
  <si>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</si>
  <si>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</si>
  <si>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</si>
  <si>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</si>
  <si>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</si>
  <si>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</si>
  <si>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</si>
  <si>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</si>
  <si>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</si>
  <si>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</si>
  <si>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</si>
  <si>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</si>
  <si>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</si>
  <si>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</si>
  <si>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</si>
  <si>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</si>
  <si>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</si>
  <si>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</si>
  <si>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</si>
  <si>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</si>
  <si>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</si>
  <si>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</si>
  <si>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</si>
  <si>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</si>
  <si>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</si>
  <si>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</si>
  <si>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</si>
  <si>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</si>
  <si>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</si>
  <si>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</si>
  <si>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</si>
  <si>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</si>
  <si>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</si>
  <si>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</si>
  <si>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</si>
  <si>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</si>
  <si>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</si>
  <si>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</si>
  <si>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</si>
  <si>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</si>
  <si>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</si>
  <si>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</si>
  <si>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</si>
  <si>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</si>
  <si>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</si>
  <si>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</si>
  <si>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</si>
  <si>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</si>
  <si>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</si>
  <si>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</si>
  <si>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</si>
  <si>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</si>
  <si>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</si>
  <si>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</si>
  <si>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</si>
  <si>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</si>
  <si>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</si>
  <si>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</si>
  <si>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</si>
  <si>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</si>
  <si>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</si>
  <si>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</si>
  <si>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</si>
  <si>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</si>
  <si>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</si>
  <si>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</si>
  <si>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</si>
  <si>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</si>
  <si>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</si>
  <si>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</si>
  <si>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</si>
  <si>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</si>
  <si>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</si>
  <si>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</si>
  <si>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</si>
  <si>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</si>
  <si>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</si>
  <si>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</si>
  <si>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</si>
  <si>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</si>
  <si>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</si>
  <si>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</si>
  <si>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</si>
  <si>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</si>
  <si>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</si>
  <si>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</si>
  <si>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</si>
  <si>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</si>
  <si>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</si>
  <si>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</si>
  <si>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</si>
  <si>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</si>
  <si>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</si>
  <si>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</si>
  <si>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</si>
  <si>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</si>
  <si>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</si>
  <si>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</si>
  <si>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</si>
  <si>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</si>
  <si>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</si>
  <si>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</si>
  <si>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</si>
  <si>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</si>
  <si>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</si>
  <si>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</si>
  <si>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</si>
  <si>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</si>
  <si>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</si>
  <si>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</si>
  <si>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</si>
  <si>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</si>
  <si>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</si>
  <si>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</si>
  <si>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</si>
  <si>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</si>
  <si>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</si>
  <si>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</si>
  <si>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</si>
  <si>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</si>
  <si>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</si>
  <si>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</si>
  <si>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</si>
  <si>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</si>
  <si>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</si>
  <si>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</si>
  <si>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</si>
  <si>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</si>
  <si>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</si>
  <si>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</si>
  <si>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</si>
  <si>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</si>
  <si>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</si>
  <si>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</si>
  <si>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</si>
  <si>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</si>
  <si>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</si>
  <si>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</si>
  <si>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</si>
  <si>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</si>
  <si>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</si>
  <si>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</si>
  <si>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</si>
  <si>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</si>
  <si>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</si>
  <si>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</si>
  <si>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</si>
  <si>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</si>
  <si>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</si>
  <si>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</si>
  <si>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</si>
  <si>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</si>
  <si>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</si>
  <si>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</si>
  <si>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</si>
  <si>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</si>
  <si>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</si>
  <si>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</si>
  <si>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</si>
  <si>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</si>
  <si>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</si>
  <si>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</si>
  <si>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</si>
  <si>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</si>
  <si>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</si>
  <si>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</si>
  <si>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</si>
  <si>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</si>
  <si>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</si>
  <si>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</si>
  <si>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</si>
  <si>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</si>
  <si>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</si>
  <si>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</si>
  <si>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</si>
  <si>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</si>
  <si>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</si>
  <si>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</si>
  <si>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</si>
  <si>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</si>
  <si>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</si>
  <si>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</si>
  <si>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</si>
  <si>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</si>
  <si>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</si>
  <si>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</si>
  <si>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</si>
  <si>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</si>
  <si>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</si>
  <si>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</si>
  <si>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</si>
  <si>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</si>
  <si>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</si>
  <si>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</si>
  <si>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</si>
  <si>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</si>
  <si>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</si>
  <si>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</si>
  <si>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</si>
  <si>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</si>
  <si>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</si>
  <si>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</si>
  <si>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</si>
  <si>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</si>
  <si>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</si>
  <si>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</si>
  <si>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</si>
  <si>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</si>
  <si>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</si>
  <si>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</si>
  <si>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</si>
  <si>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</si>
  <si>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</si>
  <si>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</si>
  <si>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</si>
  <si>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</si>
  <si>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</si>
  <si>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</si>
  <si>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</si>
  <si>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</si>
  <si>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</si>
  <si>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</si>
  <si>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</si>
  <si>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</si>
  <si>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</si>
  <si>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</si>
  <si>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</si>
  <si>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</si>
  <si>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</si>
  <si>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</si>
  <si>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</si>
  <si>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</si>
  <si>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</si>
  <si>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</si>
  <si>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</si>
  <si>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</si>
  <si>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</si>
  <si>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</si>
  <si>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</si>
  <si>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</si>
  <si>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</si>
  <si>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</si>
  <si>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</si>
  <si>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</si>
  <si>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</si>
  <si>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</si>
  <si>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</si>
  <si>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</si>
  <si>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</si>
  <si>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</si>
  <si>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</si>
  <si>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</si>
  <si>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</si>
  <si>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</si>
  <si>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</si>
  <si>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</si>
  <si>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</si>
  <si>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</si>
  <si>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</si>
  <si>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</si>
  <si>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</si>
  <si>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</si>
  <si>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</si>
  <si>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</si>
  <si>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</si>
  <si>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</si>
  <si>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</si>
  <si>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</si>
  <si>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</si>
  <si>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</si>
  <si>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</si>
  <si>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</si>
  <si>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</si>
  <si>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</si>
  <si>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</si>
  <si>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</si>
  <si>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</si>
  <si>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</si>
  <si>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</si>
  <si>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</si>
  <si>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</si>
  <si>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</si>
  <si>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</si>
  <si>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</si>
  <si>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</si>
  <si>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</si>
  <si>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</si>
  <si>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</si>
  <si>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</si>
  <si>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</si>
  <si>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</si>
  <si>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</si>
  <si>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</si>
  <si>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</si>
  <si>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</si>
  <si>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</si>
  <si>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</si>
  <si>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</si>
  <si>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</si>
  <si>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</si>
  <si>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</si>
  <si>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</si>
  <si>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</si>
  <si>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</si>
  <si>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</si>
  <si>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</si>
  <si>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</si>
  <si>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</si>
  <si>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</si>
  <si>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</si>
  <si>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</si>
  <si>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</si>
  <si>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</si>
  <si>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</si>
  <si>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</si>
  <si>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</si>
  <si>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</si>
  <si>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</si>
  <si>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</si>
  <si>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</si>
  <si>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</si>
  <si>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</si>
  <si>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</si>
  <si>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</si>
  <si>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</si>
  <si>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</si>
  <si>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</si>
  <si>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</si>
  <si>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</si>
  <si>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</si>
  <si>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</si>
  <si>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</si>
  <si>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</si>
  <si>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</si>
  <si>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</si>
  <si>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</si>
  <si>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</si>
  <si>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</si>
  <si>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</si>
  <si>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</si>
  <si>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</si>
  <si>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</si>
  <si>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</si>
  <si>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</si>
  <si>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</si>
  <si>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</si>
  <si>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</si>
  <si>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</si>
  <si>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</si>
  <si>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</si>
  <si>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</si>
  <si>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</si>
  <si>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</si>
  <si>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</si>
  <si>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</si>
  <si>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</si>
  <si>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</si>
  <si>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</si>
  <si>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</si>
  <si>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</si>
  <si>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</si>
  <si>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</si>
  <si>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</si>
  <si>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</si>
  <si>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</si>
  <si>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</si>
  <si>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</si>
  <si>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</si>
  <si>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</si>
  <si>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</si>
  <si>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</si>
  <si>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</si>
  <si>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</si>
  <si>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</si>
  <si>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</si>
  <si>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</si>
  <si>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</si>
  <si>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</si>
  <si>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</si>
  <si>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</si>
  <si>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</si>
  <si>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</si>
  <si>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</si>
  <si>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</si>
  <si>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</si>
  <si>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</si>
  <si>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</si>
  <si>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</si>
  <si>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</si>
  <si>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</si>
  <si>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</si>
  <si>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</si>
  <si>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</si>
  <si>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</si>
  <si>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</si>
  <si>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</si>
  <si>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</si>
  <si>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</si>
  <si>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</si>
  <si>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</si>
  <si>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</si>
  <si>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</si>
  <si>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</si>
  <si>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</si>
  <si>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</si>
  <si>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</si>
  <si>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</si>
  <si>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</si>
  <si>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</si>
  <si>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</si>
  <si>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</si>
  <si>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</si>
  <si>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</si>
  <si>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</si>
  <si>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</si>
  <si>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</si>
  <si>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</si>
  <si>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</si>
  <si>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</si>
  <si>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</si>
  <si>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</si>
  <si>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</si>
  <si>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</si>
  <si>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</si>
  <si>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</si>
  <si>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</si>
  <si>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</si>
  <si>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</si>
  <si>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</si>
  <si>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</si>
  <si>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</si>
  <si>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</si>
  <si>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</si>
  <si>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</si>
  <si>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</si>
  <si>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</si>
  <si>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</si>
  <si>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</si>
  <si>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</si>
  <si>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</si>
  <si>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</si>
  <si>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</si>
  <si>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</si>
  <si>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</si>
  <si>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</si>
  <si>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</si>
  <si>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</si>
  <si>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</si>
  <si>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</si>
  <si>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</si>
  <si>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</si>
  <si>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</si>
  <si>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</si>
  <si>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</si>
  <si>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</si>
  <si>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</si>
  <si>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</si>
  <si>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</si>
  <si>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</si>
  <si>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</si>
  <si>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</si>
  <si>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</si>
  <si>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</si>
  <si>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</si>
  <si>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</si>
  <si>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</si>
  <si>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</si>
  <si>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</si>
  <si>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</si>
  <si>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</si>
  <si>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</si>
  <si>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</si>
  <si>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</si>
  <si>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</si>
  <si>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</si>
  <si>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</si>
  <si>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</si>
  <si>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</si>
  <si>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</si>
  <si>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</si>
  <si>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</si>
  <si>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</si>
  <si>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</si>
  <si>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</si>
  <si>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</si>
  <si>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</si>
  <si>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</si>
  <si>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</si>
  <si>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</si>
  <si>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</si>
  <si>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</si>
  <si>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</si>
  <si>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</si>
  <si>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</si>
  <si>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</si>
  <si>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</si>
  <si>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</si>
  <si>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</si>
  <si>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</si>
  <si>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</si>
  <si>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</si>
  <si>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</si>
  <si>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</si>
  <si>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</si>
  <si>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</si>
  <si>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</si>
  <si>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</si>
  <si>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</si>
  <si>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</si>
  <si>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</si>
  <si>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</si>
  <si>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</si>
  <si>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</si>
  <si>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</si>
  <si>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</si>
  <si>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</si>
  <si>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</si>
  <si>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</si>
  <si>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</si>
  <si>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</si>
  <si>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</si>
  <si>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</si>
  <si>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</si>
  <si>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</si>
  <si>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</si>
  <si>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</si>
  <si>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</si>
  <si>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</si>
  <si>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</si>
  <si>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</si>
  <si>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</si>
  <si>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</si>
  <si>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</si>
  <si>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</si>
  <si>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</si>
  <si>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</si>
  <si>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</si>
  <si>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</si>
  <si>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</si>
  <si>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</si>
  <si>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</si>
  <si>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</si>
  <si>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</si>
  <si>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</si>
  <si>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</si>
  <si>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</si>
  <si>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</si>
  <si>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</si>
  <si>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</si>
  <si>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</si>
  <si>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</si>
  <si>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</si>
  <si>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</si>
  <si>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</si>
  <si>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</si>
  <si>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</si>
  <si>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</si>
  <si>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</si>
  <si>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</si>
  <si>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</si>
  <si>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</si>
  <si>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</si>
  <si>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</si>
  <si>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</si>
  <si>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</si>
  <si>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</si>
  <si>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</si>
  <si>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</si>
  <si>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</si>
  <si>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</si>
  <si>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</si>
  <si>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</si>
  <si>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</si>
  <si>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</si>
  <si>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</si>
  <si>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</si>
  <si>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</si>
  <si>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</si>
  <si>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</si>
  <si>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</si>
  <si>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</si>
  <si>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</si>
  <si>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</si>
  <si>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</si>
  <si>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</si>
  <si>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</si>
  <si>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</si>
  <si>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</si>
  <si>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</si>
  <si>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</si>
  <si>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</si>
  <si>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</si>
  <si>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</si>
  <si>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</si>
  <si>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</si>
  <si>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</si>
  <si>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</si>
  <si>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</si>
  <si>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</si>
  <si>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</si>
  <si>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</si>
  <si>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</si>
  <si>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</si>
  <si>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</si>
  <si>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</si>
  <si>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</si>
  <si>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</si>
  <si>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</si>
  <si>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</si>
  <si>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</si>
  <si>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</si>
  <si>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</si>
  <si>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</si>
  <si>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</si>
  <si>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</si>
  <si>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</si>
  <si>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</si>
  <si>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</si>
  <si>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</si>
  <si>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</si>
  <si>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</si>
  <si>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</si>
  <si>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</si>
  <si>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</si>
  <si>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</si>
  <si>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</si>
  <si>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</si>
  <si>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</si>
  <si>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</si>
  <si>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</si>
  <si>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</si>
  <si>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</si>
  <si>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</si>
  <si>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</si>
  <si>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</si>
  <si>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</si>
  <si>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</si>
  <si>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</si>
  <si>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</si>
  <si>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</si>
  <si>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</si>
  <si>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</si>
  <si>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</si>
  <si>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</si>
  <si>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</si>
  <si>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</si>
  <si>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</si>
  <si>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</si>
  <si>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</si>
  <si>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</si>
  <si>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</si>
  <si>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</si>
  <si>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</si>
  <si>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</si>
  <si>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</si>
  <si>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</si>
  <si>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</si>
  <si>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</si>
  <si>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</si>
  <si>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</si>
  <si>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</si>
  <si>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</si>
  <si>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</si>
  <si>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</si>
  <si>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</si>
  <si>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</si>
  <si>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</si>
  <si>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</si>
  <si>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</si>
  <si>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</si>
  <si>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</si>
  <si>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</si>
  <si>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</si>
  <si>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</si>
  <si>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</si>
  <si>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</si>
  <si>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</si>
  <si>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</si>
  <si>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</si>
  <si>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</si>
  <si>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</si>
  <si>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</si>
  <si>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</si>
  <si>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</si>
  <si>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</si>
  <si>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</si>
  <si>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</si>
  <si>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</si>
  <si>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</si>
  <si>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</si>
  <si>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</si>
  <si>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</si>
  <si>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</si>
  <si>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</si>
  <si>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</si>
  <si>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</si>
  <si>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</si>
  <si>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</si>
  <si>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</si>
  <si>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</si>
  <si>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</si>
  <si>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</si>
  <si>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</si>
  <si>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</si>
  <si>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</si>
  <si>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</si>
  <si>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</si>
  <si>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</si>
  <si>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</si>
  <si>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</si>
  <si>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</si>
  <si>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</si>
  <si>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</si>
  <si>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</si>
  <si>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</si>
  <si>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</si>
  <si>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</si>
  <si>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</si>
  <si>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</si>
  <si>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</si>
  <si>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</si>
  <si>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</si>
  <si>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</si>
  <si>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</si>
  <si>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</si>
  <si>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</si>
  <si>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</si>
  <si>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</si>
  <si>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</si>
  <si>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</si>
  <si>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</si>
  <si>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</si>
  <si>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</si>
  <si>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</si>
  <si>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</si>
  <si>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</si>
  <si>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</si>
  <si>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</si>
  <si>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</si>
  <si>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</si>
  <si>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</si>
  <si>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</si>
  <si>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</si>
  <si>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</si>
  <si>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</si>
  <si>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</si>
  <si>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</si>
  <si>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</si>
  <si>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</si>
  <si>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</si>
  <si>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</si>
  <si>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</si>
  <si>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</si>
  <si>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</si>
  <si>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</si>
  <si>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</si>
  <si>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</si>
  <si>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</si>
  <si>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</si>
  <si>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</si>
  <si>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</si>
  <si>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</si>
  <si>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</si>
  <si>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</si>
  <si>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</si>
  <si>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</si>
  <si>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</si>
  <si>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</si>
  <si>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</si>
  <si>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</si>
  <si>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</si>
  <si>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</si>
  <si>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</si>
  <si>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</si>
  <si>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</si>
  <si>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</si>
  <si>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</si>
  <si>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</si>
  <si>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</si>
  <si>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</si>
  <si>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</si>
  <si>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</si>
  <si>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</si>
  <si>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</si>
  <si>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</si>
  <si>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</si>
  <si>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</si>
  <si>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</si>
  <si>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</si>
  <si>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</si>
  <si>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</si>
  <si>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</si>
  <si>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</si>
  <si>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</si>
  <si>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</si>
  <si>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</si>
  <si>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</si>
  <si>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</si>
  <si>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</si>
  <si>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</si>
  <si>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</si>
  <si>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</si>
  <si>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</si>
  <si>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</si>
  <si>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</si>
  <si>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</si>
  <si>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</si>
  <si>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</si>
  <si>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</si>
  <si>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</si>
  <si>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</si>
  <si>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</si>
  <si>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</si>
  <si>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</si>
  <si>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</si>
  <si>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</si>
  <si>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</si>
  <si>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</si>
  <si>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</si>
  <si>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</si>
  <si>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</si>
  <si>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</si>
  <si>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</si>
  <si>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</si>
  <si>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</si>
  <si>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</si>
  <si>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</si>
  <si>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</si>
  <si>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</si>
  <si>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</si>
  <si>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</si>
  <si>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</si>
  <si>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</si>
  <si>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</si>
  <si>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</si>
  <si>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</si>
  <si>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</si>
  <si>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</si>
  <si>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</si>
  <si>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</si>
  <si>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</si>
  <si>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</si>
  <si>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</si>
  <si>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</si>
  <si>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</si>
  <si>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</si>
  <si>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</si>
  <si>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</si>
  <si>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</si>
  <si>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</si>
  <si>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</si>
  <si>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</si>
  <si>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</si>
  <si>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</si>
  <si>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</si>
  <si>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</si>
  <si>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</si>
  <si>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</si>
  <si>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</si>
  <si>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</si>
  <si>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</si>
  <si>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</si>
  <si>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</si>
  <si>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</si>
  <si>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</si>
  <si>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</si>
  <si>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</si>
  <si>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</si>
  <si>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</si>
  <si>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</si>
  <si>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</si>
  <si>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</si>
  <si>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</si>
  <si>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</si>
  <si>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</si>
  <si>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</si>
  <si>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</si>
  <si>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</si>
  <si>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</si>
  <si>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</si>
  <si>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</si>
  <si>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</si>
  <si>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</si>
  <si>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</si>
  <si>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</si>
  <si>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</si>
  <si>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</si>
  <si>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</si>
  <si>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</si>
  <si>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</si>
  <si>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</si>
  <si>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</si>
  <si>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</si>
  <si>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</si>
  <si>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</si>
  <si>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</si>
  <si>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</si>
  <si>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</si>
  <si>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</si>
  <si>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</si>
  <si>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</si>
  <si>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</si>
  <si>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</si>
  <si>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</si>
  <si>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</si>
  <si>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</si>
  <si>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</si>
  <si>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</si>
  <si>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</si>
  <si>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</si>
  <si>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</si>
  <si>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</si>
  <si>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</si>
  <si>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</si>
  <si>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</si>
  <si>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</si>
  <si>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</si>
  <si>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</si>
  <si>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</si>
  <si>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</si>
  <si>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</si>
  <si>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</si>
  <si>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</si>
  <si>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</si>
  <si>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</si>
  <si>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</si>
  <si>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</si>
  <si>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</si>
  <si>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</si>
  <si>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</si>
  <si>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</si>
  <si>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</si>
  <si>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</si>
  <si>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</si>
  <si>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</si>
  <si>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</si>
  <si>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</si>
  <si>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</si>
  <si>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</si>
  <si>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</si>
  <si>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</si>
  <si>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</si>
  <si>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</si>
  <si>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</si>
  <si>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</si>
  <si>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</si>
  <si>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</si>
  <si>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</si>
  <si>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</si>
  <si>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</si>
  <si>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</si>
  <si>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</si>
  <si>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</si>
  <si>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</si>
  <si>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</si>
  <si>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</si>
  <si>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</si>
  <si>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</si>
  <si>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</si>
  <si>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</si>
  <si>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</si>
  <si>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</si>
  <si>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</si>
  <si>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</si>
  <si>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</si>
  <si>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</si>
  <si>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</si>
  <si>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</si>
  <si>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</si>
  <si>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</si>
  <si>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</si>
  <si>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</si>
  <si>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</si>
  <si>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</si>
  <si>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</si>
  <si>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</si>
  <si>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</si>
  <si>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</si>
  <si>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</si>
  <si>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</si>
  <si>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</si>
  <si>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</si>
  <si>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</si>
  <si>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</si>
  <si>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</si>
  <si>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</si>
  <si>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</si>
  <si>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</si>
  <si>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</si>
  <si>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</si>
  <si>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</si>
  <si>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</si>
  <si>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</si>
  <si>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</si>
  <si>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</si>
  <si>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</si>
  <si>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</si>
  <si>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</si>
  <si>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</si>
  <si>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</si>
  <si>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</si>
  <si>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</si>
  <si>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</si>
  <si>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</si>
  <si>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</si>
  <si>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</si>
  <si>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</si>
  <si>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</si>
  <si>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</si>
  <si>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</si>
  <si>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</si>
  <si>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</si>
  <si>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</si>
  <si>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</si>
  <si>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</si>
  <si>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</si>
  <si>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</si>
  <si>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</si>
  <si>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</si>
  <si>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</si>
  <si>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</si>
  <si>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</si>
  <si>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</si>
  <si>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</si>
  <si>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</si>
  <si>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</si>
  <si>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</si>
  <si>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</si>
  <si>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</si>
  <si>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</si>
  <si>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</si>
  <si>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</si>
  <si>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</si>
  <si>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</si>
  <si>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</si>
  <si>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</si>
  <si>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</si>
  <si>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</si>
  <si>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</si>
  <si>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</si>
  <si>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</si>
  <si>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</si>
  <si>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</si>
  <si>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</si>
  <si>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</si>
  <si>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</si>
  <si>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</si>
  <si>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</si>
  <si>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</si>
  <si>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</si>
  <si>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</si>
  <si>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</si>
  <si>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</si>
  <si>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</si>
  <si>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</si>
  <si>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</si>
  <si>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</si>
  <si>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</si>
  <si>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</si>
  <si>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</si>
  <si>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</si>
  <si>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</si>
  <si>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</si>
  <si>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</si>
  <si>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</si>
  <si>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</si>
  <si>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</si>
  <si>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</si>
  <si>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</si>
  <si>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</si>
  <si>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</si>
  <si>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</si>
  <si>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</si>
  <si>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</si>
  <si>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</si>
  <si>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</si>
  <si>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</si>
  <si>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</si>
  <si>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</si>
  <si>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</si>
  <si>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</si>
  <si>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</si>
  <si>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</si>
  <si>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</si>
  <si>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</si>
  <si>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</si>
  <si>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</si>
  <si>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</si>
  <si>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</si>
  <si>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</si>
  <si>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</si>
  <si>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</si>
  <si>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</si>
  <si>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</si>
  <si>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</si>
  <si>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</si>
  <si>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</si>
  <si>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</si>
  <si>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</si>
  <si>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</si>
  <si>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</si>
  <si>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</si>
  <si>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</si>
  <si>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</si>
  <si>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</si>
  <si>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</si>
  <si>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</si>
  <si>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</si>
  <si>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</si>
  <si>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</si>
  <si>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</si>
  <si>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</si>
  <si>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</si>
  <si>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</si>
  <si>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</si>
  <si>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</si>
  <si>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</si>
  <si>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</si>
  <si>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</si>
  <si>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</si>
  <si>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</si>
  <si>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</si>
  <si>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</si>
  <si>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</si>
  <si>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</si>
  <si>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</si>
  <si>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</si>
  <si>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</si>
  <si>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</si>
  <si>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</si>
  <si>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</si>
  <si>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</si>
  <si>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</si>
  <si>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</si>
  <si>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</si>
  <si>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</si>
  <si>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</si>
  <si>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</si>
  <si>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</si>
  <si>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</si>
  <si>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</si>
  <si>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</si>
  <si>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</si>
  <si>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</si>
  <si>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</si>
  <si>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</si>
  <si>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</si>
  <si>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</si>
  <si>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</si>
  <si>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</si>
  <si>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</si>
  <si>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</si>
  <si>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</si>
  <si>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</si>
  <si>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</si>
  <si>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</si>
  <si>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</si>
  <si>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</si>
  <si>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</si>
  <si>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</si>
  <si>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</si>
  <si>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</si>
  <si>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</si>
  <si>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</si>
  <si>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</si>
  <si>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</si>
  <si>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</si>
  <si>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</si>
  <si>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</si>
  <si>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</si>
  <si>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</si>
  <si>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</si>
  <si>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</si>
  <si>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</si>
  <si>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</si>
  <si>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</si>
  <si>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</si>
  <si>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</si>
  <si>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</si>
  <si>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</si>
  <si>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</si>
  <si>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</si>
  <si>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</si>
  <si>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</si>
  <si>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</si>
  <si>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</si>
  <si>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</si>
  <si>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</si>
  <si>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</si>
  <si>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</si>
  <si>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</si>
  <si>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</si>
  <si>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</si>
  <si>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</si>
  <si>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</si>
  <si>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</si>
  <si>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</si>
  <si>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</si>
  <si>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</si>
  <si>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</si>
  <si>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</si>
  <si>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</si>
  <si>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</si>
  <si>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</si>
  <si>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</si>
  <si>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</si>
  <si>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</si>
  <si>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</si>
  <si>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</si>
  <si>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</si>
  <si>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</si>
  <si>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</si>
  <si>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</si>
  <si>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</si>
  <si>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</si>
  <si>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</si>
  <si>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</si>
  <si>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</si>
  <si>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</si>
  <si>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</si>
  <si>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</si>
  <si>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</si>
  <si>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</si>
  <si>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</si>
  <si>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</si>
  <si>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</si>
  <si>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</si>
  <si>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</si>
  <si>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</si>
  <si>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</si>
  <si>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</si>
  <si>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</si>
  <si>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</si>
  <si>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</si>
  <si>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</si>
  <si>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</si>
  <si>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</si>
  <si>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</si>
  <si>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</si>
  <si>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</si>
  <si>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</si>
  <si>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</si>
  <si>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</si>
  <si>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</si>
  <si>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</si>
  <si>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</si>
  <si>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</si>
  <si>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</si>
  <si>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</si>
  <si>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</si>
  <si>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</si>
  <si>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</si>
  <si>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</si>
  <si>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</si>
  <si>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</si>
  <si>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</si>
  <si>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</si>
  <si>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</si>
  <si>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</si>
  <si>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</si>
  <si>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</si>
  <si>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</si>
  <si>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</si>
  <si>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</si>
  <si>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</si>
  <si>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</si>
  <si>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</si>
  <si>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</si>
  <si>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</si>
  <si>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</si>
  <si>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</si>
  <si>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</si>
  <si>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</si>
  <si>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</si>
  <si>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</si>
  <si>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</si>
  <si>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</si>
  <si>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</si>
  <si>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</si>
  <si>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</si>
  <si>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</si>
  <si>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</si>
  <si>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</si>
  <si>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</si>
  <si>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</si>
  <si>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</si>
  <si>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</si>
  <si>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</si>
  <si>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</si>
  <si>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</si>
  <si>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</si>
  <si>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</si>
  <si>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</si>
  <si>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</si>
  <si>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</si>
  <si>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</si>
  <si>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</si>
  <si>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</si>
  <si>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</si>
  <si>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</si>
  <si>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</si>
  <si>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</si>
  <si>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</si>
  <si>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</si>
  <si>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</si>
  <si>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</si>
  <si>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</si>
  <si>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</si>
  <si>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</si>
  <si>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</si>
  <si>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</si>
  <si>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</si>
  <si>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</si>
  <si>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</si>
  <si>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</si>
  <si>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</si>
  <si>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</si>
  <si>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</si>
  <si>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</si>
  <si>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</si>
  <si>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</si>
  <si>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</si>
  <si>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</si>
  <si>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</si>
  <si>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</si>
  <si>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</si>
  <si>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</si>
  <si>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</si>
  <si>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</si>
  <si>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</si>
  <si>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</si>
  <si>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</si>
  <si>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</si>
  <si>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</si>
  <si>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</si>
  <si>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</si>
  <si>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</si>
  <si>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</si>
  <si>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</si>
  <si>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</si>
  <si>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</si>
  <si>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</si>
  <si>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</si>
  <si>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</si>
  <si>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</si>
  <si>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</si>
  <si>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</si>
  <si>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</si>
  <si>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</si>
  <si>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</si>
  <si>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</si>
  <si>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</si>
  <si>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</si>
  <si>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</si>
  <si>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</si>
  <si>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</si>
  <si>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</si>
  <si>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</si>
  <si>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</si>
  <si>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</si>
  <si>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</si>
  <si>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</si>
  <si>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</si>
  <si>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</si>
  <si>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</si>
  <si>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</si>
  <si>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</si>
  <si>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</si>
  <si>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</si>
  <si>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</si>
  <si>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</si>
  <si>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</si>
  <si>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</si>
  <si>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</si>
  <si>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</si>
  <si>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</si>
  <si>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</si>
  <si>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</si>
  <si>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</si>
  <si>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</si>
  <si>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</si>
  <si>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</si>
  <si>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</si>
  <si>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</si>
  <si>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</si>
  <si>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</si>
  <si>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</si>
  <si>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</si>
  <si>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</si>
  <si>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</si>
  <si>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</si>
  <si>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</si>
  <si>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</si>
  <si>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</si>
  <si>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</si>
  <si>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</si>
  <si>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</si>
  <si>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</si>
  <si>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</si>
  <si>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</si>
  <si>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</si>
  <si>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</si>
  <si>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</si>
  <si>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</si>
  <si>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</si>
  <si>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</si>
  <si>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</si>
  <si>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</si>
  <si>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</si>
  <si>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</si>
  <si>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</si>
  <si>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</si>
  <si>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</si>
  <si>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</si>
  <si>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</si>
  <si>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</si>
  <si>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</si>
  <si>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</si>
  <si>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</si>
  <si>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</si>
  <si>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</si>
  <si>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</si>
  <si>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</si>
  <si>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</si>
  <si>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</si>
  <si>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</si>
  <si>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</si>
  <si>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</si>
  <si>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</si>
  <si>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</si>
  <si>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</si>
  <si>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</si>
  <si>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</si>
  <si>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</si>
  <si>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</si>
  <si>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</si>
  <si>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</si>
  <si>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</si>
  <si>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</si>
  <si>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</si>
  <si>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</si>
  <si>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</si>
  <si>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</si>
  <si>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</si>
  <si>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</si>
  <si>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</si>
  <si>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</si>
  <si>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</si>
  <si>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</si>
  <si>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</si>
  <si>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</si>
  <si>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</si>
  <si>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</si>
  <si>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</si>
  <si>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</si>
  <si>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</si>
  <si>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</si>
  <si>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</si>
  <si>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</si>
  <si>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</si>
  <si>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</si>
  <si>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</si>
  <si>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</si>
  <si>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</si>
  <si>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</si>
  <si>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</si>
  <si>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</si>
  <si>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</si>
  <si>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</si>
  <si>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</si>
  <si>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</si>
  <si>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</si>
  <si>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</si>
  <si>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</si>
  <si>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</si>
  <si>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</si>
  <si>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</si>
  <si>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</si>
  <si>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</si>
  <si>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</si>
  <si>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</si>
  <si>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</si>
  <si>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</si>
  <si>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</si>
  <si>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</si>
  <si>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</si>
  <si>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</si>
  <si>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</si>
  <si>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</si>
  <si>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</si>
  <si>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</si>
  <si>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</si>
  <si>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</si>
  <si>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</si>
  <si>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</si>
  <si>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</si>
  <si>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</si>
  <si>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</si>
  <si>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</si>
  <si>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</si>
  <si>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</si>
  <si>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</si>
  <si>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</si>
  <si>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</si>
  <si>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</si>
  <si>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</si>
  <si>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</si>
  <si>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</si>
  <si>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</si>
  <si>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</si>
  <si>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</si>
  <si>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</si>
  <si>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</si>
  <si>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</si>
  <si>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</si>
  <si>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</si>
  <si>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</si>
  <si>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</si>
  <si>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</si>
  <si>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</si>
  <si>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</si>
  <si>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</si>
  <si>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</si>
  <si>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</si>
  <si>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</si>
  <si>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</si>
  <si>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</si>
  <si>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</si>
  <si>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</si>
  <si>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</si>
  <si>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</si>
  <si>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</si>
  <si>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</si>
  <si>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</si>
  <si>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</si>
  <si>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</si>
  <si>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</si>
  <si>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</si>
  <si>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</si>
  <si>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</si>
  <si>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</si>
  <si>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</si>
  <si>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</si>
  <si>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</si>
  <si>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</si>
  <si>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</si>
  <si>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</si>
  <si>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</si>
  <si>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</si>
  <si>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</si>
  <si>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</si>
  <si>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</si>
  <si>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</si>
  <si>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</si>
  <si>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</si>
  <si>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</si>
  <si>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</si>
  <si>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</si>
  <si>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</si>
  <si>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</si>
  <si>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</si>
  <si>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</si>
  <si>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</si>
  <si>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</si>
  <si>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</si>
  <si>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</si>
  <si>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</si>
  <si>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</si>
  <si>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</si>
  <si>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</si>
  <si>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</si>
  <si>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</si>
  <si>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</si>
  <si>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</si>
  <si>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</si>
  <si>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</si>
  <si>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</si>
  <si>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</si>
  <si>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</si>
  <si>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</si>
  <si>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</si>
  <si>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</si>
  <si>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</si>
  <si>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</si>
  <si>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</si>
  <si>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</si>
  <si>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</si>
  <si>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</si>
  <si>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</si>
  <si>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</si>
  <si>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</si>
  <si>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</si>
  <si>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</si>
  <si>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</si>
  <si>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</si>
  <si>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</si>
  <si>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</si>
  <si>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</si>
  <si>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</si>
  <si>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</si>
  <si>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</si>
  <si>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</si>
  <si>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</si>
  <si>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</si>
  <si>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</si>
  <si>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</si>
  <si>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</si>
  <si>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</si>
  <si>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</si>
  <si>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</si>
  <si>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</si>
  <si>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</si>
  <si>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</si>
  <si>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</si>
  <si>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</si>
  <si>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</si>
  <si>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</si>
  <si>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</si>
  <si>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</si>
  <si>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</si>
  <si>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</si>
  <si>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</si>
  <si>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</si>
  <si>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</si>
  <si>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</si>
  <si>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</si>
  <si>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</si>
  <si>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</si>
  <si>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</si>
  <si>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</si>
  <si>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</si>
  <si>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</si>
  <si>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</si>
  <si>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</si>
  <si>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</si>
  <si>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</si>
  <si>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</si>
  <si>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</si>
  <si>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</si>
  <si>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</si>
  <si>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</si>
  <si>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</si>
  <si>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</si>
  <si>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</si>
  <si>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</si>
  <si>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</si>
  <si>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</si>
  <si>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</si>
  <si>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</si>
  <si>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</si>
  <si>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</si>
  <si>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</si>
  <si>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</si>
  <si>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</si>
  <si>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</si>
  <si>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</si>
  <si>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</si>
  <si>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</si>
  <si>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</si>
  <si>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</si>
  <si>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</si>
  <si>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</si>
  <si>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</si>
  <si>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</si>
  <si>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</si>
  <si>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</si>
  <si>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</si>
  <si>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</si>
  <si>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</si>
  <si>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</si>
  <si>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</si>
  <si>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</si>
  <si>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</si>
  <si>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</si>
  <si>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</si>
  <si>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</si>
  <si>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</si>
  <si>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</si>
  <si>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</si>
  <si>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</si>
  <si>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</si>
  <si>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</si>
  <si>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</si>
  <si>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</si>
  <si>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</si>
  <si>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</si>
  <si>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</si>
  <si>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</si>
  <si>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</si>
  <si>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</si>
  <si>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</si>
  <si>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</si>
  <si>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</si>
  <si>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</si>
  <si>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</si>
  <si>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</si>
  <si>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</si>
  <si>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</si>
  <si>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</si>
  <si>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</si>
  <si>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</si>
  <si>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</si>
  <si>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</si>
  <si>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</si>
  <si>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</si>
  <si>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</si>
  <si>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</si>
  <si>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</si>
  <si>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</si>
  <si>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</si>
  <si>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</si>
  <si>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</si>
  <si>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</si>
  <si>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</si>
  <si>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</si>
  <si>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</si>
  <si>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</si>
  <si>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</si>
  <si>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</si>
  <si>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</si>
  <si>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</si>
  <si>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</si>
  <si>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</si>
  <si>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</si>
  <si>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</si>
  <si>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</si>
  <si>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</si>
  <si>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</si>
  <si>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</si>
  <si>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</si>
  <si>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</si>
  <si>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</si>
  <si>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</si>
  <si>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</si>
  <si>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</si>
  <si>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</si>
  <si>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</si>
  <si>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</si>
  <si>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</si>
  <si>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</si>
  <si>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</si>
  <si>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</si>
  <si>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</si>
  <si>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</si>
  <si>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</si>
  <si>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</si>
  <si>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</si>
  <si>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</si>
  <si>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</si>
  <si>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</si>
  <si>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</si>
  <si>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</si>
  <si>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</si>
  <si>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</si>
  <si>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</si>
  <si>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</si>
  <si>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</si>
  <si>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</si>
  <si>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</si>
  <si>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</si>
  <si>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</si>
  <si>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</si>
  <si>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</si>
  <si>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</si>
  <si>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</si>
  <si>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</si>
  <si>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</si>
  <si>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</si>
  <si>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</si>
  <si>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</si>
  <si>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</si>
  <si>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</si>
  <si>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</si>
  <si>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</si>
  <si>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</si>
  <si>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</si>
  <si>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</si>
  <si>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</si>
  <si>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</si>
  <si>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</si>
  <si>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</si>
  <si>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</si>
  <si>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</si>
  <si>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</si>
  <si>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</si>
  <si>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</si>
  <si>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</si>
  <si>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</si>
  <si>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</si>
  <si>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</si>
  <si>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</si>
  <si>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</si>
  <si>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</si>
  <si>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</si>
  <si>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</si>
  <si>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</si>
  <si>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</si>
  <si>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</si>
  <si>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</si>
  <si>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</si>
  <si>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</si>
  <si>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</si>
  <si>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</si>
  <si>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</si>
  <si>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</si>
  <si>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</si>
  <si>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</si>
  <si>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</si>
  <si>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</si>
  <si>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</si>
  <si>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</si>
  <si>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</si>
  <si>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</si>
  <si>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</si>
  <si>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</si>
  <si>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</si>
  <si>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</si>
  <si>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</si>
  <si>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</si>
  <si>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</si>
  <si>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</si>
  <si>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</si>
  <si>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</si>
  <si>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</si>
  <si>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</si>
  <si>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</si>
  <si>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</si>
  <si>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</si>
  <si>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</si>
  <si>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</si>
  <si>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</si>
  <si>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</si>
  <si>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</si>
  <si>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</si>
  <si>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</si>
  <si>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</si>
  <si>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</si>
  <si>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</si>
  <si>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</si>
  <si>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</si>
  <si>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</si>
  <si>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</si>
  <si>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</si>
  <si>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</si>
  <si>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</si>
  <si>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</si>
  <si>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</si>
  <si>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</si>
  <si>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</si>
  <si>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</si>
  <si>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</si>
  <si>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</si>
  <si>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</si>
  <si>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</si>
  <si>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</si>
  <si>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</si>
  <si>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</si>
  <si>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</si>
  <si>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</si>
  <si>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</si>
  <si>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</si>
  <si>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</si>
  <si>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</si>
  <si>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</si>
  <si>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</si>
  <si>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</si>
  <si>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</si>
  <si>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</si>
  <si>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</si>
  <si>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</si>
  <si>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</si>
  <si>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</si>
  <si>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</si>
  <si>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</si>
  <si>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</si>
  <si>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</si>
  <si>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</si>
  <si>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</si>
  <si>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</si>
  <si>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</si>
  <si>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</si>
  <si>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</si>
  <si>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</si>
  <si>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</si>
  <si>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</si>
  <si>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</si>
  <si>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</si>
  <si>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</si>
  <si>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</si>
  <si>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</si>
  <si>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</si>
  <si>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</si>
  <si>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</si>
  <si>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</si>
  <si>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</si>
  <si>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</si>
  <si>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</si>
  <si>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</si>
  <si>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</si>
  <si>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</si>
  <si>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</si>
  <si>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</si>
  <si>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</si>
  <si>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</si>
  <si>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</si>
  <si>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</si>
  <si>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</si>
  <si>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</si>
  <si>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</si>
  <si>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</si>
  <si>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</si>
  <si>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</si>
  <si>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</si>
  <si>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</si>
  <si>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</si>
  <si>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</si>
  <si>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</si>
  <si>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</si>
  <si>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</si>
  <si>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</si>
  <si>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</si>
  <si>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</si>
  <si>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</si>
  <si>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</si>
  <si>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</si>
  <si>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</si>
  <si>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</si>
  <si>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</si>
  <si>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</si>
  <si>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</si>
  <si>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</si>
  <si>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</si>
  <si>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</si>
  <si>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</si>
  <si>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</si>
  <si>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</si>
  <si>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</si>
  <si>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</si>
  <si>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</si>
  <si>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</si>
  <si>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</si>
  <si>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</si>
  <si>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</si>
  <si>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</si>
  <si>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</si>
  <si>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</si>
  <si>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</si>
  <si>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</si>
  <si>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</si>
  <si>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</si>
  <si>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</si>
  <si>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</si>
  <si>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</si>
  <si>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</si>
  <si>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</si>
  <si>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</si>
  <si>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</si>
  <si>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</si>
  <si>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</si>
  <si>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</si>
  <si>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</si>
  <si>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</si>
  <si>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</si>
  <si>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</si>
  <si>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</si>
  <si>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</si>
  <si>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</si>
  <si>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</si>
  <si>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</si>
  <si>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</si>
  <si>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</si>
  <si>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</si>
  <si>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</si>
  <si>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</si>
  <si>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</si>
  <si>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</si>
  <si>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</si>
  <si>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</si>
  <si>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</si>
  <si>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</si>
  <si>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</si>
  <si>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</si>
  <si>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</si>
  <si>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</si>
  <si>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</si>
  <si>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</si>
  <si>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</si>
  <si>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</si>
  <si>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</si>
  <si>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</si>
  <si>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</si>
  <si>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</si>
  <si>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</si>
  <si>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</si>
  <si>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</si>
  <si>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</si>
  <si>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</si>
  <si>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</si>
  <si>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</si>
  <si>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</si>
  <si>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</si>
  <si>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</si>
  <si>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</si>
  <si>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</si>
  <si>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</si>
  <si>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</si>
  <si>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</si>
  <si>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</si>
  <si>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</si>
  <si>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</si>
  <si>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</si>
  <si>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</si>
  <si>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</si>
  <si>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</si>
  <si>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</si>
  <si>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</si>
  <si>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</si>
  <si>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</si>
  <si>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</si>
  <si>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</si>
  <si>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</si>
  <si>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</si>
  <si>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</si>
  <si>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</si>
  <si>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</si>
  <si>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</si>
  <si>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</si>
  <si>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</si>
  <si>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</si>
  <si>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</si>
  <si>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</si>
  <si>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</si>
  <si>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</si>
  <si>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</si>
  <si>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</si>
  <si>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</si>
  <si>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</si>
  <si>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</si>
  <si>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</si>
  <si>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</si>
  <si>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</si>
  <si>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</si>
  <si>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</si>
  <si>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</si>
  <si>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</si>
  <si>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</si>
  <si>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</si>
  <si>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</si>
  <si>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</si>
  <si>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</si>
  <si>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</si>
  <si>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</si>
  <si>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</si>
  <si>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</si>
  <si>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</si>
  <si>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</si>
  <si>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</si>
  <si>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</si>
  <si>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</si>
  <si>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</si>
  <si>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</si>
  <si>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</si>
  <si>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</si>
  <si>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</si>
  <si>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</si>
  <si>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</si>
  <si>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</si>
  <si>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</si>
  <si>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</si>
  <si>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</si>
  <si>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</si>
  <si>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</si>
  <si>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</si>
  <si>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</si>
  <si>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</si>
  <si>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</si>
  <si>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</si>
  <si>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</si>
  <si>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</si>
  <si>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</si>
  <si>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</si>
  <si>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</si>
  <si>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</si>
  <si>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</si>
  <si>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</si>
  <si>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</si>
  <si>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</si>
  <si>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</si>
  <si>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</si>
  <si>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</si>
  <si>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</si>
  <si>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</si>
  <si>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</si>
  <si>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</si>
  <si>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</si>
  <si>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</si>
  <si>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</si>
  <si>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</si>
  <si>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</si>
  <si>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</si>
  <si>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</si>
  <si>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</si>
  <si>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</si>
  <si>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</si>
  <si>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</si>
  <si>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</si>
  <si>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</si>
  <si>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</si>
  <si>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</si>
  <si>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</si>
  <si>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</si>
  <si>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</si>
  <si>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</si>
  <si>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</si>
  <si>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</si>
  <si>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</si>
  <si>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</si>
  <si>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</si>
  <si>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</si>
  <si>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</si>
  <si>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</si>
  <si>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</si>
  <si>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</si>
  <si>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</si>
  <si>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</si>
  <si>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</si>
  <si>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</si>
  <si>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</si>
  <si>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</si>
  <si>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</si>
  <si>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</si>
  <si>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</si>
  <si>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</si>
  <si>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</si>
  <si>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</si>
  <si>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</si>
  <si>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</si>
  <si>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</si>
  <si>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</si>
  <si>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</si>
  <si>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</si>
  <si>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</si>
  <si>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</si>
  <si>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</si>
  <si>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</si>
  <si>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</si>
  <si>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</si>
  <si>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</si>
  <si>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</si>
  <si>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</si>
  <si>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</si>
  <si>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</si>
  <si>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</si>
  <si>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</si>
  <si>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</si>
  <si>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</si>
  <si>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</si>
  <si>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</si>
  <si>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</si>
  <si>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</si>
  <si>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</si>
  <si>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</si>
  <si>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</si>
  <si>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</si>
  <si>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</si>
  <si>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</si>
  <si>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</si>
  <si>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</si>
  <si>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</si>
  <si>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</si>
  <si>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</si>
  <si>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</si>
  <si>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</si>
  <si>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</si>
  <si>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</si>
  <si>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</si>
  <si>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</si>
  <si>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</si>
  <si>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</si>
  <si>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</si>
  <si>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</si>
  <si>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</si>
  <si>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</si>
  <si>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</si>
  <si>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</si>
  <si>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</si>
  <si>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</si>
  <si>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</si>
  <si>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</si>
  <si>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</si>
  <si>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</si>
  <si>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</si>
  <si>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</si>
  <si>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</si>
  <si>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</si>
  <si>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</si>
  <si>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</si>
  <si>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</si>
  <si>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</si>
  <si>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</si>
  <si>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</si>
  <si>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</si>
  <si>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</si>
  <si>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</si>
  <si>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</si>
  <si>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</si>
  <si>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</si>
  <si>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</si>
  <si>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</si>
  <si>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</si>
  <si>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</si>
  <si>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</si>
  <si>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</si>
  <si>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</si>
  <si>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</si>
  <si>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</si>
  <si>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</si>
  <si>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</si>
  <si>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</si>
  <si>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</si>
  <si>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</si>
  <si>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</si>
  <si>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</si>
  <si>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</si>
  <si>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</si>
  <si>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</si>
  <si>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</si>
  <si>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</si>
  <si>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</si>
  <si>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</si>
  <si>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</si>
  <si>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</si>
  <si>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</si>
  <si>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</si>
  <si>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</si>
  <si>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</si>
  <si>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</si>
  <si>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</si>
  <si>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</si>
  <si>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</si>
  <si>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</si>
  <si>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</si>
  <si>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</si>
  <si>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</si>
  <si>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</si>
  <si>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</si>
  <si>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</si>
  <si>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</si>
  <si>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</si>
  <si>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</si>
  <si>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</si>
  <si>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</si>
  <si>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</si>
  <si>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</si>
  <si>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</si>
  <si>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</si>
  <si>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</si>
  <si>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</si>
  <si>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</si>
  <si>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</si>
  <si>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</si>
  <si>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</si>
  <si>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</si>
  <si>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</si>
  <si>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</si>
  <si>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</si>
  <si>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</si>
  <si>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</si>
  <si>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</si>
  <si>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</si>
  <si>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</si>
  <si>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</si>
  <si>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</si>
  <si>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</si>
  <si>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</si>
  <si>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</si>
  <si>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</si>
  <si>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</si>
  <si>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</si>
  <si>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</si>
  <si>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</si>
  <si>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</si>
  <si>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</si>
  <si>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</si>
  <si>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</si>
  <si>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</si>
  <si>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</si>
  <si>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</si>
  <si>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</si>
  <si>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</si>
  <si>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</si>
  <si>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</si>
  <si>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</si>
  <si>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</si>
  <si>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</si>
  <si>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</si>
  <si>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</si>
  <si>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</si>
  <si>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</si>
  <si>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</si>
  <si>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</si>
  <si>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</si>
  <si>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</si>
  <si>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</si>
  <si>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</si>
  <si>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</si>
  <si>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</si>
  <si>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</si>
  <si>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</si>
  <si>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</si>
  <si>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</si>
  <si>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</si>
  <si>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</si>
  <si>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</si>
  <si>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</si>
  <si>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</si>
  <si>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</si>
  <si>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</si>
  <si>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</si>
  <si>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</si>
  <si>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</si>
  <si>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</si>
  <si>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</si>
  <si>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</si>
  <si>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</si>
  <si>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</si>
  <si>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</si>
  <si>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</si>
  <si>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</si>
  <si>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</si>
  <si>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</si>
  <si>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</si>
  <si>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</si>
  <si>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</si>
  <si>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</si>
  <si>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</si>
  <si>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</si>
  <si>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</si>
  <si>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</si>
  <si>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</si>
  <si>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</si>
  <si>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</si>
  <si>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</si>
  <si>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</si>
  <si>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</si>
  <si>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</si>
  <si>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</si>
  <si>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</si>
  <si>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</si>
  <si>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</si>
  <si>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</si>
  <si>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</si>
  <si>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</si>
  <si>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</si>
  <si>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</si>
  <si>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</si>
  <si>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</si>
  <si>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</si>
  <si>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</si>
  <si>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</si>
  <si>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</si>
  <si>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</si>
  <si>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</si>
  <si>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</si>
  <si>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</si>
  <si>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</si>
  <si>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</si>
  <si>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</si>
  <si>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</si>
  <si>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</si>
  <si>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</si>
  <si>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</si>
  <si>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</si>
  <si>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</si>
  <si>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</si>
  <si>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</si>
  <si>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</si>
  <si>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</si>
  <si>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</si>
  <si>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</si>
  <si>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</si>
  <si>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</si>
  <si>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</si>
  <si>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</si>
  <si>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</si>
  <si>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</si>
  <si>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</si>
  <si>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</si>
  <si>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</si>
  <si>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</si>
  <si>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</si>
  <si>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</si>
  <si>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</si>
  <si>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</si>
  <si>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</si>
  <si>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</si>
  <si>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</si>
  <si>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</si>
  <si>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</si>
  <si>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</si>
  <si>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</si>
  <si>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</si>
  <si>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</si>
  <si>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</si>
  <si>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</si>
  <si>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</si>
  <si>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</si>
  <si>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</si>
  <si>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</si>
  <si>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</si>
  <si>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</si>
  <si>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</si>
  <si>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</si>
  <si>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</si>
  <si>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</si>
  <si>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</si>
  <si>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</si>
  <si>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</si>
  <si>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</si>
  <si>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</si>
  <si>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</si>
  <si>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</si>
  <si>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</si>
  <si>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</si>
  <si>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</si>
  <si>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</si>
  <si>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</si>
  <si>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</si>
  <si>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</si>
  <si>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</si>
  <si>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</si>
  <si>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</si>
  <si>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</si>
  <si>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</si>
  <si>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</si>
  <si>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</si>
  <si>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</si>
  <si>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</si>
  <si>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</si>
  <si>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</si>
  <si>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</si>
  <si>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</si>
  <si>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</si>
  <si>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</si>
  <si>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</si>
  <si>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</si>
  <si>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</si>
  <si>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</si>
  <si>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</si>
  <si>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</si>
  <si>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</si>
  <si>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</si>
  <si>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</si>
  <si>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</si>
  <si>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</si>
  <si>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</si>
  <si>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</si>
  <si>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</si>
  <si>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</si>
  <si>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</si>
  <si>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</si>
  <si>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</si>
  <si>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</si>
  <si>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</si>
  <si>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</si>
  <si>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</si>
  <si>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</si>
  <si>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</si>
  <si>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</si>
  <si>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</si>
  <si>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</si>
  <si>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</si>
  <si>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</si>
  <si>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</si>
  <si>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</si>
  <si>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</si>
  <si>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</si>
  <si>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</si>
  <si>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</si>
  <si>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</si>
  <si>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</si>
  <si>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</si>
  <si>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</si>
  <si>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</si>
  <si>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</si>
  <si>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</si>
  <si>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</si>
  <si>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</si>
  <si>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</si>
  <si>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</si>
  <si>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</si>
  <si>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</si>
  <si>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</si>
  <si>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</si>
  <si>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</si>
  <si>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</si>
  <si>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</si>
  <si>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</si>
  <si>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</si>
  <si>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</si>
  <si>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</si>
  <si>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</si>
  <si>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</si>
  <si>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</si>
  <si>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</si>
  <si>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</si>
  <si>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</si>
  <si>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</si>
  <si>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</si>
  <si>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</si>
  <si>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</si>
  <si>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</si>
  <si>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</si>
  <si>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</si>
  <si>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</si>
  <si>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</si>
  <si>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</si>
  <si>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</si>
  <si>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</si>
  <si>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</si>
  <si>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</si>
  <si>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</si>
  <si>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</si>
  <si>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</si>
  <si>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</si>
  <si>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</si>
  <si>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</si>
  <si>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</si>
  <si>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</si>
  <si>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</si>
  <si>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</si>
  <si>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</si>
  <si>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</si>
  <si>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</si>
  <si>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</si>
  <si>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</si>
  <si>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</si>
  <si>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</si>
  <si>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</si>
  <si>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</si>
  <si>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</si>
  <si>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</si>
  <si>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</si>
  <si>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</si>
  <si>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</si>
  <si>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</si>
  <si>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</si>
  <si>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</si>
  <si>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</si>
  <si>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</si>
  <si>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</si>
  <si>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</si>
  <si>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</si>
  <si>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</si>
  <si>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</si>
  <si>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</si>
  <si>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</si>
  <si>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</si>
  <si>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</si>
  <si>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</si>
  <si>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</si>
  <si>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</si>
  <si>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</si>
  <si>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</si>
  <si>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</si>
  <si>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</si>
  <si>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</si>
  <si>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</si>
  <si>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</si>
  <si>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</si>
  <si>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</si>
  <si>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</si>
  <si>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</si>
  <si>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</si>
  <si>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</si>
  <si>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</si>
  <si>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</si>
  <si>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</si>
  <si>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</si>
  <si>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</si>
  <si>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</si>
  <si>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</si>
  <si>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</si>
  <si>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</si>
  <si>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</si>
  <si>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</si>
  <si>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</si>
  <si>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</si>
  <si>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</si>
  <si>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</si>
  <si>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</si>
  <si>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</si>
  <si>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</si>
  <si>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</si>
  <si>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</si>
  <si>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</si>
  <si>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</si>
  <si>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</si>
  <si>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</si>
  <si>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</si>
  <si>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</si>
  <si>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</si>
  <si>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</si>
  <si>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</si>
  <si>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</si>
  <si>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</si>
  <si>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</si>
  <si>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</si>
  <si>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</si>
  <si>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</si>
  <si>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</si>
  <si>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</si>
  <si>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</si>
  <si>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</si>
  <si>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</si>
  <si>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</si>
  <si>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</si>
  <si>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</si>
  <si>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</si>
  <si>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</si>
  <si>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</si>
  <si>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</si>
  <si>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</si>
  <si>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</si>
  <si>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</si>
  <si>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</si>
  <si>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</si>
  <si>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</si>
  <si>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</si>
  <si>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</si>
  <si>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</si>
  <si>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</si>
  <si>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</si>
  <si>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</si>
  <si>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</si>
  <si>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</si>
  <si>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</si>
  <si>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</si>
  <si>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</si>
  <si>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</si>
  <si>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</si>
  <si>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</si>
  <si>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</si>
  <si>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</si>
  <si>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</si>
  <si>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</si>
  <si>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</si>
  <si>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</si>
  <si>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</si>
  <si>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</si>
  <si>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</si>
  <si>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</si>
  <si>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</si>
  <si>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</si>
  <si>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</si>
  <si>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</si>
  <si>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</si>
  <si>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</si>
  <si>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</si>
  <si>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</si>
  <si>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</si>
  <si>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</si>
  <si>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</si>
  <si>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</si>
  <si>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</si>
  <si>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</si>
  <si>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</si>
  <si>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</si>
  <si>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</si>
  <si>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</si>
  <si>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</si>
  <si>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</si>
  <si>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</si>
  <si>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</si>
  <si>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</si>
  <si>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</si>
  <si>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</si>
  <si>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</si>
  <si>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</si>
  <si>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</si>
  <si>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</si>
  <si>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</si>
  <si>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</si>
  <si>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</si>
  <si>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</si>
  <si>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</si>
  <si>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</si>
  <si>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</si>
  <si>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</si>
  <si>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</si>
  <si>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</si>
  <si>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</si>
  <si>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</si>
  <si>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</si>
  <si>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</si>
  <si>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</si>
  <si>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</si>
  <si>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</si>
  <si>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</si>
  <si>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</si>
  <si>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</si>
  <si>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</si>
  <si>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</si>
  <si>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</si>
  <si>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</si>
  <si>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</si>
  <si>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</si>
  <si>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</si>
  <si>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</si>
  <si>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</si>
  <si>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</si>
  <si>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</si>
  <si>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</si>
  <si>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</si>
  <si>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</si>
  <si>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</si>
  <si>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</si>
  <si>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</si>
  <si>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</si>
  <si>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</si>
  <si>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</si>
  <si>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</si>
  <si>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</si>
  <si>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</si>
  <si>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</si>
  <si>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</si>
  <si>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</si>
  <si>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</si>
  <si>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</si>
  <si>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</si>
  <si>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</si>
  <si>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</si>
  <si>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</si>
  <si>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</si>
  <si>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</si>
  <si>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</si>
  <si>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</si>
  <si>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</si>
  <si>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</si>
  <si>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</si>
  <si>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</si>
  <si>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</si>
  <si>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</si>
  <si>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</si>
  <si>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</si>
  <si>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</si>
  <si>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</si>
  <si>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</si>
  <si>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</si>
  <si>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</si>
  <si>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</si>
  <si>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</si>
  <si>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</si>
  <si>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</si>
  <si>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</si>
  <si>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</si>
  <si>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</si>
  <si>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</si>
  <si>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</si>
  <si>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</si>
  <si>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</si>
  <si>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</si>
  <si>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</si>
  <si>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</si>
  <si>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</si>
  <si>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</si>
  <si>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</si>
  <si>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</si>
  <si>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</si>
  <si>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</si>
  <si>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</si>
  <si>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</si>
  <si>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</si>
  <si>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</si>
  <si>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</si>
  <si>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</si>
  <si>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Radolid Thiel GmbH</t>
  </si>
  <si>
    <t>RADOLID Schraubenschutzkappen / RADOLID protective caps</t>
  </si>
  <si>
    <t>Langenstueck 2, 58579 Schalksmuehle, GERMANY</t>
  </si>
  <si>
    <t>Fabian Henkes</t>
  </si>
  <si>
    <t>fhenkes@radolid.de</t>
  </si>
  <si>
    <t>+49 (0)2351/979495</t>
  </si>
  <si>
    <t>Andreas Thiel</t>
  </si>
  <si>
    <t>Geschäftsführer / CEO</t>
  </si>
  <si>
    <t>info@radolid.de</t>
  </si>
  <si>
    <t>+49 (0)2351/979494</t>
  </si>
  <si>
    <t>RADOLID verarbeitet ausschließlich thermoplastische Kunststoffe. / RADOLID exclusively processes thermoplastics.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</si>
</sst>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5"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4"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6"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7"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8"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09"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0"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1"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3"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9" fillId="0" borderId="0" xfId="0" applyNumberFormat="1" applyFont="1" applyAlignment="1">
      <alignment horizontal="left" vertical="center" wrapText="1"/>
    </xf>
    <xf numFmtId="9" fontId="117"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0"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7"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8"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7"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3"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1" fillId="0" borderId="0" xfId="527" applyFont="1" applyFill="1" applyAlignment="1">
      <alignment horizontal="left" vertical="center" wrapText="1"/>
    </xf>
    <xf numFmtId="168" fontId="6" fillId="0" borderId="0" xfId="480" applyAlignment="1">
      <alignment vertical="center"/>
    </xf>
    <xf numFmtId="0" fontId="122"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2" fillId="2" borderId="1" xfId="0" applyNumberFormat="1" applyFont="1" applyFill="1" applyBorder="1" applyAlignment="1" applyProtection="1">
      <alignment horizontal="left" vertical="center" wrapText="1"/>
      <protection locked="0"/>
    </xf>
    <xf numFmtId="49" fontId="102"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henkes@radolid.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radolid.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baseColWidth="10"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ht="16.5">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23.75">
      <c r="A37" s="356"/>
      <c r="B37" s="175">
        <v>3.01</v>
      </c>
      <c r="C37" s="176" t="s">
        <v>74</v>
      </c>
      <c r="D37" s="39" t="s">
        <v>2691</v>
      </c>
      <c r="E37" s="200" t="s">
        <v>1458</v>
      </c>
      <c r="F37" s="201" t="s">
        <v>1577</v>
      </c>
      <c r="G37" s="34"/>
    </row>
    <row r="38" spans="1:7" ht="1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baseColWidth="10"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baseColWidth="10"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baseColWidth="10"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Schulung und Beratung, Vorlagen, Responsible Minerals Assurance Process, konforme Schmelzhütten Liste</v>
      </c>
      <c r="B1" s="118" t="s">
        <v>510</v>
      </c>
    </row>
    <row r="2" spans="1:2" ht="30">
      <c r="A2" s="128" t="str">
        <f ca="1">OFFSET(L!$C$1,MATCH("Instructions"&amp;ADDRESS(ROW(),COLUMN(),4),L!$A:$A,0)-1,SL,,)</f>
        <v>Einführung</v>
      </c>
      <c r="B2" s="118" t="s">
        <v>1434</v>
      </c>
    </row>
    <row r="3" spans="1:2" ht="181.5" customHeight="1">
      <c r="A3" s="125" t="str">
        <f ca="1">OFFSET(L!$C$1,MATCH("Instructions"&amp;ADDRESS(ROW(),COLUMN(),4),L!$A:$A,0)-1,SL,,)</f>
        <v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v>
      </c>
      <c r="B3" s="118" t="s">
        <v>1435</v>
      </c>
    </row>
    <row r="4" spans="1:2" ht="150">
      <c r="A4" s="125" t="str">
        <f ca="1">OFFSET(L!$C$1,MATCH("Instructions"&amp;ADDRESS(ROW(),COLUMN(),4),L!$A:$A,0)-1,SL,,)</f>
        <v>*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v>
      </c>
      <c r="B4" s="118" t="s">
        <v>1441</v>
      </c>
    </row>
    <row r="5" spans="1:2" ht="15">
      <c r="A5" s="129"/>
      <c r="B5" s="118"/>
    </row>
    <row r="6" spans="1:2" ht="30">
      <c r="A6" s="128" t="str">
        <f ca="1">OFFSET(L!$C$1,MATCH("Instructions"&amp;ADDRESS(ROW(),COLUMN(),4),L!$A:$A,0)-1,SL,,)</f>
        <v>Anleitung zum Ausfüllen von Informationen zu Unternehmen (Zeilen 8 - 22).  Die Kommentare nur in englischer Sprache.</v>
      </c>
      <c r="B6" s="118" t="s">
        <v>1434</v>
      </c>
    </row>
    <row r="7" spans="1:2" ht="15">
      <c r="A7" s="125" t="str">
        <f ca="1">OFFSET(L!$C$1,MATCH("Instructions"&amp;ADDRESS(ROW(),COLUMN(),4),L!$A:$A,0)-1,SL,,)</f>
        <v>Hinweis: Eingaben mit (*) sind Pflichtfelder</v>
      </c>
      <c r="B7" s="118"/>
    </row>
    <row r="8" spans="1:2" ht="30">
      <c r="A8" s="125" t="str">
        <f ca="1">OFFSET(L!$C$1,MATCH("Instructions"&amp;ADDRESS(ROW(),COLUMN(),4),L!$A:$A,0)-1,SL,,)</f>
        <v>1. Geben Sie hier den rechtmäßigen Firmennamen Ihres Unternehmens ein. Bitte verwenden Sie keine Abkürzungen. In diesem Feld haben Sie die Möglichkeit, weitere Geschäftsnamen, DBAs usw. hinzuzufügen.</v>
      </c>
      <c r="B8" s="118"/>
    </row>
    <row r="9" spans="1:2" ht="376.5" customHeight="1">
      <c r="A9" s="179"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8" t="s">
        <v>1433</v>
      </c>
    </row>
    <row r="10" spans="1:2" ht="36" customHeight="1">
      <c r="A10" s="125" t="str">
        <f ca="1">OFFSET(L!$C$1,MATCH("Instructions"&amp;ADDRESS(ROW(),COLUMN(),4),L!$A:$A,0)-1,SL,,)</f>
        <v>3.Geben sie ihre eindeutige Firmenidentifikationsnummer (DUNS Nummer, Steuernummer, Kunden-spezifische Kennung, etc.) ein</v>
      </c>
      <c r="B10" s="118"/>
    </row>
    <row r="11" spans="1:2" ht="35.25" customHeight="1">
      <c r="A11" s="125" t="str">
        <f ca="1">OFFSET(L!$C$1,MATCH("Instructions"&amp;ADDRESS(ROW(),COLUMN(),4),L!$A:$A,0)-1,SL,,)</f>
        <v>4. Geben Sie die Quelle für die eindeutige Kennung oder Code ( "DUNS",  "MWST","Kunde", etc. ) an.</v>
      </c>
      <c r="B11" s="118"/>
    </row>
    <row r="12" spans="1:2" ht="30">
      <c r="A12" s="125" t="str">
        <f ca="1">OFFSET(L!$C$1,MATCH("Instructions"&amp;ADDRESS(ROW(),COLUMN(),4),L!$A:$A,0)-1,SL,,)</f>
        <v>5. Geben Sie Ihre vollständige Firmenanschrift an (Straße, Stadt, Postleitzahl,  Bundesland).  Dieses Feld ist optional.</v>
      </c>
      <c r="B12" s="118" t="s">
        <v>1434</v>
      </c>
    </row>
    <row r="13" spans="1:2" ht="33.75" customHeight="1">
      <c r="A13" s="125" t="str">
        <f ca="1">OFFSET(L!$C$1,MATCH("Instructions"&amp;ADDRESS(ROW(),COLUMN(),4),L!$A:$A,0)-1,SL,,)</f>
        <v>6. Geben Sie den Namen der Kontaktperson zum Inhalt der Erklärung an. Dies ist ein obligatorisches Feld.</v>
      </c>
      <c r="B13" s="118"/>
    </row>
    <row r="14" spans="1:2" ht="30">
      <c r="A14" s="12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8"/>
    </row>
    <row r="15" spans="1:2" ht="15">
      <c r="A15" s="125" t="str">
        <f ca="1">OFFSET(L!$C$1,MATCH("Instructions"&amp;ADDRESS(ROW(),COLUMN(),4),L!$A:$A,0)-1,SL,,)</f>
        <v>8. Geben Sie die Telefonnummer des Kontakts an. Dies ist ein obligatorisches Feld.</v>
      </c>
      <c r="B15" s="118"/>
    </row>
    <row r="16" spans="1:2" ht="45">
      <c r="A16" s="12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8"/>
    </row>
    <row r="17" spans="1:2" ht="15">
      <c r="A17" s="125" t="str">
        <f ca="1">OFFSET(L!$C$1,MATCH("Instructions"&amp;ADDRESS(ROW(),COLUMN(),4),L!$A:$A,0)-1,SL,,)</f>
        <v>10. Geben Sie den Titel für den Namen des Bevollmächtigten an. Dieses Feld ist optional.</v>
      </c>
      <c r="B17" s="118"/>
    </row>
    <row r="18" spans="1:2" ht="30">
      <c r="A18" s="12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8"/>
    </row>
    <row r="19" spans="1:2" ht="15">
      <c r="A19" s="125" t="str">
        <f ca="1">OFFSET(L!$C$1,MATCH("Instructions"&amp;ADDRESS(ROW(),COLUMN(),4),L!$A:$A,0)-1,SL,,)</f>
        <v>12. Geben Sie die Telefonnummer des Bevollmächtigten an. Dies ist ein obligatorisches Feld.</v>
      </c>
      <c r="B19" s="118"/>
    </row>
    <row r="20" spans="1:2" ht="33.75" customHeight="1">
      <c r="A20" s="125" t="str">
        <f ca="1">OFFSET(L!$C$1,MATCH("Instructions"&amp;ADDRESS(ROW(),COLUMN(),4),L!$A:$A,0)-1,SL,,)</f>
        <v>13. Bitte geben Sie das Datum der Fertigstellung für dieses Formblatt mit dem Format TT-MMM-JJJJ ein. Dies ist ein obligatorisches Feld.</v>
      </c>
      <c r="B20" s="118"/>
    </row>
    <row r="21" spans="1:2" ht="30">
      <c r="A21" s="125" t="str">
        <f ca="1">OFFSET(L!$C$1,MATCH("Instructions"&amp;ADDRESS(ROW(),COLUMN(),4),L!$A:$A,0)-1,SL,,)</f>
        <v>14. Zum Beispiel kann der Benutzer die Datei unter dem Namen speichern: companyname-datum.xls (Datum im Format JJJJ-MM-TT).</v>
      </c>
      <c r="B21" s="118" t="s">
        <v>1434</v>
      </c>
    </row>
    <row r="22" spans="1:2" ht="15">
      <c r="A22" s="129"/>
      <c r="B22" s="118"/>
    </row>
    <row r="23" spans="1:2" ht="30">
      <c r="A23" s="128" t="str">
        <f ca="1">OFFSET(L!$C$1,MATCH("Instructions"&amp;ADDRESS(ROW(),COLUMN(),4),L!$A:$A,0)-1,SL,,)</f>
        <v>Anweisungen für das Ausfüllen der sieben Due Diligence Fragen (Zeilen 24 - 65).
Antworten bitte nur in englischer Sprache eingeben.</v>
      </c>
      <c r="B23" s="118" t="s">
        <v>1434</v>
      </c>
    </row>
    <row r="24" spans="1:2" ht="75">
      <c r="A24" s="125" t="str">
        <f ca="1">OFFSET(L!$C$1,MATCH("Instructions"&amp;ADDRESS(ROW(),COLUMN(),4),L!$A:$A,0)-1,SL,,)</f>
        <v>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8" t="s">
        <v>1437</v>
      </c>
    </row>
    <row r="25" spans="1:2" ht="60">
      <c r="A25" s="125" t="str">
        <f ca="1">OFFSET(L!$C$1,MATCH("Instructions"&amp;ADDRESS(ROW(),COLUMN(),4),L!$A:$A,0)-1,SL,,)</f>
        <v>Geben Sie bei jeder der sieben obligatorischen Fragen eine Antwort für jedes Metall an, indem Sie eine Auswahl aus dem Pull-down-Menü treffen. Die Fragen in diesem Abschnitt müssen für alle 3TG-Mineralien beantwortet werden. 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v>
      </c>
      <c r="B25" s="118" t="s">
        <v>1434</v>
      </c>
    </row>
    <row r="26" spans="1:2" ht="276.75" customHeight="1">
      <c r="A26" s="12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8" t="s">
        <v>1434</v>
      </c>
    </row>
    <row r="27" spans="1:2" ht="30">
      <c r="A27" s="125" t="str">
        <f ca="1">OFFSET(L!$C$1,MATCH("Instructions"&amp;ADDRESS(ROW(),COLUMN(),4),L!$A:$A,0)-1,SL,,)</f>
        <v>Manche Unternehmen benötigen eine Begründung für eine "Nein" -Antwort im Kommentarfeld</v>
      </c>
      <c r="B27" s="118" t="s">
        <v>1434</v>
      </c>
    </row>
    <row r="28" spans="1:2" ht="247.5" customHeight="1">
      <c r="A28" s="12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8"/>
    </row>
    <row r="29" spans="1:2" ht="135">
      <c r="A29" s="125" t="str">
        <f ca="1">OFFSET(L!$C$1,MATCH("Instructions"&amp;ADDRESS(ROW(),COLUMN(),4),L!$A:$A,0)-1,SL,,)</f>
        <v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v>
      </c>
      <c r="B29" s="118" t="s">
        <v>1434</v>
      </c>
    </row>
    <row r="30" spans="1:2" ht="153" customHeight="1">
      <c r="A30" s="125" t="str">
        <f ca="1">OFFSET(L!$C$1,MATCH("Instructions"&amp;ADDRESS(ROW(),COLUMN(),4),L!$A:$A,0)-1,SL,,)</f>
        <v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0" s="118" t="s">
        <v>1434</v>
      </c>
    </row>
    <row r="31" spans="1:2" ht="180">
      <c r="A31" s="125" t="str">
        <f ca="1">OFFSET(L!$C$1,MATCH("Instructions"&amp;ADDRESS(ROW(),COLUMN(),4),L!$A:$A,0)-1,SL,,)</f>
        <v>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1" s="118" t="s">
        <v>1437</v>
      </c>
    </row>
    <row r="32" spans="1:2" ht="75">
      <c r="A32" s="125" t="str">
        <f ca="1">OFFSET(L!$C$1,MATCH("Instructions"&amp;ADDRESS(ROW(),COLUMN(),4),L!$A:$A,0)-1,SL,,)</f>
        <v>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2" s="118"/>
    </row>
    <row r="33" spans="1:2" ht="60">
      <c r="A33" s="125" t="str">
        <f ca="1">OFFSET(L!$C$1,MATCH("Instructions"&amp;ADDRESS(ROW(),COLUMN(),4),L!$A:$A,0)-1,SL,,)</f>
        <v>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3" s="118" t="s">
        <v>1434</v>
      </c>
    </row>
    <row r="34" spans="1:2" ht="15">
      <c r="A34" s="125" t="str">
        <f ca="1">OFFSET(L!$C$1,MATCH("Instructions"&amp;ADDRESS(ROW(),COLUMN(),4),L!$A:$A,0)-1,SL,,)</f>
        <v>Geben Sie, falls notwendig, Anmerkungen im Kommentarbereich ein, die für eine Klarstellung ihrer Antwort hilfreich sind.</v>
      </c>
      <c r="B34" s="118"/>
    </row>
    <row r="35" spans="1:2" ht="15">
      <c r="A35" s="129"/>
      <c r="B35" s="118"/>
    </row>
    <row r="36" spans="1:2" ht="45">
      <c r="A36" s="128" t="str">
        <f ca="1">OFFSET(L!$C$1,MATCH("Instructions"&amp;ADDRESS(ROW(),COLUMN(),4),L!$A:$A,0)-1,SL,,)</f>
        <v>Instruktionen zur Beantwortung der Fragen A. – I. (Reihen 69–86).  Die Fragen A. bis I. müssen beantwortet werden, wenn die Antwort auf Frage 1 für irgendein Metall „Ja“ lautet.
Bitte geben Sie Ihre Antworten nur auf ENGLISCH</v>
      </c>
      <c r="B36" s="118" t="s">
        <v>1434</v>
      </c>
    </row>
    <row r="37" spans="1:2" ht="135">
      <c r="A37" s="125" t="str">
        <f ca="1">OFFSET(L!$C$1,MATCH("Instructions"&amp;ADDRESS(ROW(),COLUMN(),4),L!$A:$A,0)-1,SL,,)</f>
        <v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v>
      </c>
      <c r="B37" s="118" t="s">
        <v>1436</v>
      </c>
    </row>
    <row r="38" spans="1:2" ht="60">
      <c r="A38" s="125" t="str">
        <f ca="1">OFFSET(L!$C$1,MATCH("Instructions"&amp;ADDRESS(ROW(),COLUMN(),4),L!$A:$A,0)-1,SL,,)</f>
        <v>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v>
      </c>
      <c r="B38" s="118"/>
    </row>
    <row r="39" spans="1:2" ht="60">
      <c r="A39" s="125" t="str">
        <f ca="1">OFFSET(L!$C$1,MATCH("Instructions"&amp;ADDRESS(ROW(),COLUMN(),4),L!$A:$A,0)-1,SL,,)</f>
        <v>B. Diese Erklärung dient der Bestimmung, ob die Beschaffungsrichtlinie für Konfliktmineralien eines Unternehmens auf dessen Website verfügbar ist. Die Antwort auf diese Frage muss „Ja“ oder „Nein“ lauten. Bei „Ja“ sollte der Benutzer die URL im Frage/Kommentar-Feld angeben. 
Diese Frage muss beantwortet werden.</v>
      </c>
      <c r="B39" s="118"/>
    </row>
    <row r="40" spans="1:2" ht="75">
      <c r="A40" s="125" t="str">
        <f ca="1">OFFSET(L!$C$1,MATCH("Instructions"&amp;ADDRESS(ROW(),COLUMN(),4),L!$A:$A,0)-1,SL,,)</f>
        <v>C. Diese Frage dient der Bestimmung, ob es für ein Unternehmen erforderlich ist, dass seine direkten Lieferanten DRC-konfliktfrei sind. Die Antwort auf diese Frage muss „Ja“ oder „Nein“ lauten.  Die Definition von „DRC-konfliktfrei“ finden Sie auf dem Definitionen-Arbeitsblatt.  Anmerkungen sollten in einem Frage/Kommentar-Feld festgehalten werden. 
Diese Frage muss beantwortet werden.</v>
      </c>
      <c r="B40" s="118" t="s">
        <v>1439</v>
      </c>
    </row>
    <row r="41" spans="1:2" ht="60">
      <c r="A41" s="125" t="str">
        <f ca="1">OFFSET(L!$C$1,MATCH("Instructions"&amp;ADDRESS(ROW(),COLUMN(),4),L!$A:$A,0)-1,SL,,)</f>
        <v>D.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v>
      </c>
      <c r="B41" s="118" t="s">
        <v>1437</v>
      </c>
    </row>
    <row r="42" spans="1:2" ht="180">
      <c r="A42" s="125" t="str">
        <f ca="1">OFFSET(L!$C$1,MATCH("Instructions"&amp;ADDRESS(ROW(),COLUMN(),4),L!$A:$A,0)-1,SL,,)</f>
        <v>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
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v>
      </c>
      <c r="B42" s="118" t="s">
        <v>1438</v>
      </c>
    </row>
    <row r="43" spans="1:2" ht="150">
      <c r="A43" s="125" t="str">
        <f ca="1">OFFSET(L!$C$1,MATCH("Instructions"&amp;ADDRESS(ROW(),COLUMN(),4),L!$A:$A,0)-1,SL,,)</f>
        <v>F.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8" t="s">
        <v>1434</v>
      </c>
    </row>
    <row r="44" spans="1:2" ht="135">
      <c r="A44" s="125" t="str">
        <f ca="1">OFFSET(L!$C$1,MATCH("Instructions"&amp;ADDRESS(ROW(),COLUMN(),4),L!$A:$A,0)-1,SL,,)</f>
        <v>G.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8" t="s">
        <v>1435</v>
      </c>
    </row>
    <row r="45" spans="1:2" ht="60">
      <c r="A45" s="125" t="str">
        <f ca="1">OFFSET(L!$C$1,MATCH("Instructions"&amp;ADDRESS(ROW(),COLUMN(),4),L!$A:$A,0)-1,SL,,)</f>
        <v>H.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8" t="s">
        <v>1434</v>
      </c>
    </row>
    <row r="46" spans="1:2" ht="45">
      <c r="A46" s="125" t="str">
        <f ca="1">OFFSET(L!$C$1,MATCH("Instructions"&amp;ADDRESS(ROW(),COLUMN(),4),L!$A:$A,0)-1,SL,,)</f>
        <v>I. Diese Frage dient der Bestimmung, ob ein Unternehmen in den Geltungsbereich der SEC-Regel fällt. Die Antwort auf diese Frage muss „Ja“ oder „Nein“ lauten. Anmerkungen sollten in einem Frage/Kommentar-Feld festgehalten werden. Diese Frage muss beantwortet werden. Wenden Sie sich für weitere Informationen an www.sec.gov.</v>
      </c>
      <c r="B46" s="118" t="s">
        <v>1437</v>
      </c>
    </row>
    <row r="47" spans="1:2" ht="15">
      <c r="A47" s="129"/>
      <c r="B47" s="118"/>
    </row>
    <row r="48" spans="1:2" ht="30">
      <c r="A48" s="128" t="str">
        <f ca="1">OFFSET(L!$C$1,MATCH("Instructions"&amp;ADDRESS(ROW(),COLUMN(),4),L!$A:$A,0)-1,SL,,)</f>
        <v>Hinweis: Spalten mit (*) sind Pflichtfelder</v>
      </c>
      <c r="B48" s="118" t="s">
        <v>1434</v>
      </c>
    </row>
    <row r="49" spans="1:2" ht="45">
      <c r="A49" s="125" t="str">
        <f ca="1">OFFSET(L!$C$1,MATCH("Instructions"&amp;ADDRESS(ROW(),COLUMN(),4),L!$A:$A,0)-1,SL,,)</f>
        <v>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v>
      </c>
      <c r="B49" s="118"/>
    </row>
    <row r="50" spans="1:2" ht="60">
      <c r="A50" s="125" t="str">
        <f ca="1">OFFSET(L!$C$1,MATCH("Instructions"&amp;ADDRESS(ROW(),COLUMN(),4),L!$A:$A,0)-1,SL,,)</f>
        <v>1. Eingabespalte Schmelzofenidentifizierung – Wenn Sie die Schmelzofenidentifizierungsnummer kennen, geben Sie die Nummer in Spalte A ein (Spalten B, C, E, F, G, I und J füllen sich automatisch aus).  Spalte A füllt sich nicht automatisch aus.</v>
      </c>
      <c r="B50" s="118" t="s">
        <v>1433</v>
      </c>
    </row>
    <row r="51" spans="1:2" ht="30">
      <c r="A51" s="125" t="str">
        <f ca="1">OFFSET(L!$C$1,MATCH("Instructions"&amp;ADDRESS(ROW(),COLUMN(),4),L!$A:$A,0)-1,SL,,)</f>
        <v>2.  Metall ( * ) - Verwenden Sie das Pull-down-Menü, um das Metall auszuwählen,  für welches Sie Informationen über den Schmelzer eingeben. Dies ist ein Pflichteingabefeld.</v>
      </c>
      <c r="B51" s="118" t="s">
        <v>1434</v>
      </c>
    </row>
    <row r="52" spans="1:2" ht="60">
      <c r="A52" s="125" t="str">
        <f ca="1">OFFSET(L!$C$1,MATCH("Instructions"&amp;ADDRESS(ROW(),COLUMN(),4),L!$A:$A,0)-1,SL,,)</f>
        <v>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v>
      </c>
      <c r="B52" s="118"/>
    </row>
    <row r="53" spans="1:2" ht="30">
      <c r="A53" s="189" t="str">
        <f ca="1">OFFSET(L!$C$1,MATCH("Instructions"&amp;ADDRESS(ROW(),COLUMN(),4),L!$A:$A,0)-1,SL,,)</f>
        <v>4. Schmelzer Name ( 1 ) - Füllen Sie den Namen des Schmelzers in Spalte C ein, wenn Sie  "Schmelzer nicht aufgelistet" ausgewählt haben.  Dieses Feld wird automatisch ausgefüllt, wenn ein Schmelzer in Spalte C ausgewählt wurde. Dies ist ein Pflichteingabefeld.</v>
      </c>
      <c r="B53" s="118" t="s">
        <v>1434</v>
      </c>
    </row>
    <row r="54" spans="1:2" ht="60">
      <c r="A54" s="125" t="str">
        <f ca="1">OFFSET(L!$C$1,MATCH("Instructions"&amp;ADDRESS(ROW(),COLUMN(),4),L!$A:$A,0)-1,SL,,)</f>
        <v>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v>
      </c>
      <c r="B54" s="118" t="s">
        <v>1433</v>
      </c>
    </row>
    <row r="55" spans="1:2" ht="75">
      <c r="A55" s="125" t="str">
        <f ca="1">OFFSET(L!$C$1,MATCH("Instructions"&amp;ADDRESS(ROW(),COLUMN(),4),L!$A:$A,0)-1,SL,,)</f>
        <v>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v>
      </c>
      <c r="B55" s="118" t="s">
        <v>1439</v>
      </c>
    </row>
    <row r="56" spans="1:2" ht="60">
      <c r="A56" s="125" t="str">
        <f ca="1">OFFSET(L!$C$1,MATCH("Instructions"&amp;ADDRESS(ROW(),COLUMN(),4),L!$A:$A,0)-1,SL,,)</f>
        <v>7. Quelle der Schmelzer Identifikationsnummer - das ist die Quelle des Schmelzers, welche  in der Spalte F eingegeben wurde. Wenn ein Schmelzofen aus der Drop-down Box in Spalte C ausgewählt wurde, dann wird dieses Feld automatisch aufgefüllt werden.</v>
      </c>
      <c r="B56" s="118" t="s">
        <v>1433</v>
      </c>
    </row>
    <row r="57" spans="1:2" ht="60">
      <c r="A57" s="125" t="str">
        <f ca="1">OFFSET(L!$C$1,MATCH("Instructions"&amp;ADDRESS(ROW(),COLUMN(),4),L!$A:$A,0)-1,SL,,)</f>
        <v>8. Straße des Schmelzofens – Geben Sie den Straßennamen des Schmelzofenstandortes an. Das Ausfüllen dieses Feldes ist freiwillig.</v>
      </c>
      <c r="B57" s="118" t="s">
        <v>1433</v>
      </c>
    </row>
    <row r="58" spans="1:2" ht="60">
      <c r="A58" s="125" t="str">
        <f ca="1">OFFSET(L!$C$1,MATCH("Instructions"&amp;ADDRESS(ROW(),COLUMN(),4),L!$A:$A,0)-1,SL,,)</f>
        <v>9. Ort des Schmelzofens – Geben Sie den Namen des Ortes an, in dem sich der Schmelzofen befindet. Das Ausfüllen dieses Feldes ist freiwillig.</v>
      </c>
      <c r="B58" s="118" t="s">
        <v>1433</v>
      </c>
    </row>
    <row r="59" spans="1:2" ht="30">
      <c r="A59" s="125" t="str">
        <f ca="1">OFFSET(L!$C$1,MATCH("Instructions"&amp;ADDRESS(ROW(),COLUMN(),4),L!$A:$A,0)-1,SL,,)</f>
        <v>10. Standort des Schmelzofens: Ggf. Bundesland/Region/Provinz – Geben Sie das Bundesland oder die Region/Provinz des Schmelzofenstandortes an. Das Ausfüllen dieses Feldes ist freiwillig.</v>
      </c>
      <c r="B59" s="118" t="s">
        <v>1434</v>
      </c>
    </row>
    <row r="60" spans="1:2" ht="198.75" customHeight="1">
      <c r="A60" s="125" t="str">
        <f ca="1">OFFSET(L!$C$1,MATCH("Instructions"&amp;ADDRESS(ROW(),COLUMN(),4),L!$A:$A,0)-1,SL,,)</f>
        <v>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0" s="118" t="s">
        <v>1437</v>
      </c>
    </row>
    <row r="61" spans="1:2" ht="45">
      <c r="A61" s="125" t="str">
        <f ca="1">OFFSET(L!$C$1,MATCH("Instructions"&amp;ADDRESS(ROW(),COLUMN(),4),L!$A:$A,0)-1,SL,,)</f>
        <v>12. Schmelzer Kontakt-E-Mail - Tragen Sie die E-mail Adresse des Ansprechpartners des Schmelzers ein. Zum Beispiel:   John.Smith@SmelterXXX.com.  Lesen Sie bitte die Anweisungen für die Eingabe des Ansprechpartners  vor der Eingabe des Kontakt Namens.</v>
      </c>
      <c r="B61" s="118" t="s">
        <v>1437</v>
      </c>
    </row>
    <row r="62" spans="1:2" ht="75">
      <c r="A62" s="125" t="str">
        <f ca="1">OFFSET(L!$C$1,MATCH("Instructions"&amp;ADDRESS(ROW(),COLUMN(),4),L!$A:$A,0)-1,SL,,)</f>
        <v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v>
      </c>
      <c r="B62" s="118" t="s">
        <v>1433</v>
      </c>
    </row>
    <row r="63" spans="1:2" ht="90">
      <c r="A63" s="125" t="str">
        <f ca="1">OFFSET(L!$C$1,MATCH("Instructions"&amp;ADDRESS(ROW(),COLUMN(),4),L!$A:$A,0)-1,SL,,)</f>
        <v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v>
      </c>
      <c r="B63" s="118" t="s">
        <v>1433</v>
      </c>
    </row>
    <row r="64" spans="1:2" ht="90">
      <c r="A64" s="125" t="str">
        <f ca="1">OFFSET(L!$C$1,MATCH("Instructions"&amp;ADDRESS(ROW(),COLUMN(),4),L!$A:$A,0)-1,SL,,)</f>
        <v>15. Zeigt an, ob der Schmelzofen seine Materialien für seine(n) Schmelzprozess(e) ausschließlich aus Recycling oder Schrott bezieht. Diese Frage ist optional.  Erlaubte Antworten auf diese Frage sind:
- Ja
- Nein
- Unbekannt</v>
      </c>
      <c r="B64" s="118"/>
    </row>
    <row r="65" spans="1:2" ht="30">
      <c r="A65" s="125" t="str">
        <f ca="1">OFFSET(L!$C$1,MATCH("Instructions"&amp;ADDRESS(ROW(),COLUMN(),4),L!$A:$A,0)-1,SL,,)</f>
        <v xml:space="preserve">16. Anmerkungen - geben Sie Ihre Anmerkungen zu den Schmelzhütten in das Textfeld ein. Beispiel: Smelter is being acquired by Company YYY </v>
      </c>
      <c r="B65" s="118"/>
    </row>
    <row r="66" spans="1:2" ht="110.25" customHeight="1">
      <c r="A66" s="125"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66" s="118"/>
    </row>
    <row r="67" spans="1:2" s="28" customFormat="1" ht="15">
      <c r="A67" s="130"/>
      <c r="B67" s="118"/>
    </row>
    <row r="68" spans="1:2" s="28" customFormat="1" ht="153" customHeight="1">
      <c r="A68" s="128"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v>
      </c>
      <c r="B68" s="118"/>
    </row>
    <row r="69" spans="1:2" s="28" customFormat="1" ht="15">
      <c r="A69" s="130"/>
      <c r="B69" s="118"/>
    </row>
    <row r="70" spans="1:2" ht="60">
      <c r="A70" s="128"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0" s="118" t="s">
        <v>1434</v>
      </c>
    </row>
    <row r="71" spans="1:2" ht="165">
      <c r="A71" s="125"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1" s="118" t="s">
        <v>1440</v>
      </c>
    </row>
    <row r="72" spans="1:2" ht="90">
      <c r="A72" s="125"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2" s="118" t="s">
        <v>1438</v>
      </c>
    </row>
    <row r="73" spans="1:2" ht="75">
      <c r="A73" s="125" t="str">
        <f ca="1">OFFSET(L!$C$1,MATCH("Instructions"&amp;ADDRESS(ROW(),COLUMN(),4),L!$A:$A,0)-1,SL,,)</f>
        <v xml:space="preserve">Beim Bearbeiten und der Benutzung der Liste oder eines jeglichen Werkzeuges und der Beachtung dessen, stimmt der Anwender dem vorhergehenden zu.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baseColWidth="10"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Posten</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Zinn, Tantal, Wolfram, gold</v>
      </c>
      <c r="D3" s="375"/>
      <c r="E3" s="132" t="s">
        <v>1442</v>
      </c>
    </row>
    <row r="4" spans="1:5" ht="63.75" customHeight="1">
      <c r="A4" s="90"/>
      <c r="B4" s="77" t="str">
        <f ca="1">OFFSET(L!$C$1,MATCH("Definitions"&amp;ADDRESS(ROW(),COLUMN(),4),L!$A:$A,0)-1,SL,,)</f>
        <v>Bevollmächtigter</v>
      </c>
      <c r="C4" s="77"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75"/>
      <c r="E4" s="132"/>
    </row>
    <row r="5" spans="1:5" ht="105">
      <c r="A5" s="90"/>
      <c r="B5" s="77" t="str">
        <f ca="1">OFFSET(L!$C$1,MATCH("Definitions"&amp;ADDRESS(ROW(),COLUMN(),4),L!$A:$A,0)-1,SL,,)</f>
        <v>Konfliktmineral</v>
      </c>
      <c r="C5" s="77"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5" s="375"/>
      <c r="E5" s="132" t="s">
        <v>1443</v>
      </c>
    </row>
    <row r="6" spans="1:5" ht="75">
      <c r="A6" s="90"/>
      <c r="B6" s="77" t="str">
        <f ca="1">OFFSET(L!$C$1,MATCH("Definitions"&amp;ADDRESS(ROW(),COLUMN(),4),L!$A:$A,0)-1,SL,,)</f>
        <v>umfassendes Land(er)</v>
      </c>
      <c r="C6" s="77"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6" s="375"/>
      <c r="E6" s="132" t="s">
        <v>1443</v>
      </c>
    </row>
    <row r="7" spans="1:5" ht="135">
      <c r="A7" s="90"/>
      <c r="B7" s="77" t="str">
        <f ca="1">OFFSET(L!$C$1,MATCH("Definitions"&amp;ADDRESS(ROW(),COLUMN(),4),L!$A:$A,0)-1,SL,,)</f>
        <v>Erklärung Anwendungsbereich oder Klasse</v>
      </c>
      <c r="C7" s="77"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75"/>
      <c r="E7" s="132" t="s">
        <v>1446</v>
      </c>
    </row>
    <row r="8" spans="1:5" ht="60">
      <c r="A8" s="90"/>
      <c r="B8" s="77" t="str">
        <f ca="1">OFFSET(L!$C$1,MATCH("Definitions"&amp;ADDRESS(ROW(),COLUMN(),4),L!$A:$A,0)-1,SL,,)</f>
        <v>Dodd-Frank</v>
      </c>
      <c r="C8" s="77" t="str">
        <f ca="1">OFFSET(L!$C$1,MATCH("Definitions"&amp;ADDRESS(ROW(),COLUMN(),4),L!$A:$A,0)-1,SL,,)</f>
        <v>2010 US Gesetzgebung, Dodd-Frank-Walls Street Reform and Consumer Protection Art, Section 1502 ("Dodd-Frank") (http://www.sec.gov/about/laws/wallstreetreform-cpa.pdf)</v>
      </c>
      <c r="D8" s="375"/>
      <c r="E8" s="132" t="s">
        <v>1443</v>
      </c>
    </row>
    <row r="9" spans="1:5" ht="45">
      <c r="A9" s="90"/>
      <c r="B9" s="77" t="str">
        <f ca="1">OFFSET(L!$C$1,MATCH("Definitions"&amp;ADDRESS(ROW(),COLUMN(),4),L!$A:$A,0)-1,SL,,)</f>
        <v>DRK</v>
      </c>
      <c r="C9" s="77" t="str">
        <f ca="1">OFFSET(L!$C$1,MATCH("Definitions"&amp;ADDRESS(ROW(),COLUMN(),4),L!$A:$A,0)-1,SL,,)</f>
        <v>Demokratische Republik Kongo</v>
      </c>
      <c r="D9" s="375"/>
      <c r="E9" s="132" t="s">
        <v>1442</v>
      </c>
    </row>
    <row r="10" spans="1:5" ht="60">
      <c r="A10" s="90"/>
      <c r="B10" s="77" t="str">
        <f ca="1">OFFSET(L!$C$1,MATCH("Definitions"&amp;ADDRESS(ROW(),COLUMN(),4),L!$A:$A,0)-1,SL,,)</f>
        <v>DRK Konflikt-Frei</v>
      </c>
      <c r="C10" s="77"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0" s="375"/>
      <c r="E10" s="132" t="s">
        <v>1442</v>
      </c>
    </row>
    <row r="11" spans="1:5" ht="60">
      <c r="A11" s="90"/>
      <c r="B11" s="77" t="str">
        <f ca="1">OFFSET(L!$C$1,MATCH("Definitions"&amp;ADDRESS(ROW(),COLUMN(),4),L!$A:$A,0)-1,SL,,)</f>
        <v>Gold (Au) Raffinerie (Schmelzhutte)</v>
      </c>
      <c r="C11" s="77"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1" s="375"/>
      <c r="E11" s="132" t="s">
        <v>1442</v>
      </c>
    </row>
    <row r="12" spans="1:5" ht="107.25" customHeight="1">
      <c r="A12" s="90"/>
      <c r="B12" s="77" t="str">
        <f ca="1">OFFSET(L!$C$1,MATCH("Definitions"&amp;ADDRESS(ROW(),COLUMN(),4),L!$A:$A,0)-1,SL,,)</f>
        <v>Unabhängige Private Wirtschaftsprüfungsgesellschaft</v>
      </c>
      <c r="C12" s="77" t="str">
        <f ca="1">OFFSET(L!$C$1,MATCH("Definitions"&amp;ADDRESS(ROW(),COLUMN(),4),L!$A:$A,0)-1,SL,,)</f>
        <v>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2" s="375"/>
      <c r="E12" s="132" t="s">
        <v>1444</v>
      </c>
    </row>
    <row r="13" spans="1:5" ht="303.75" customHeight="1">
      <c r="A13" s="90"/>
      <c r="B13" s="77" t="str">
        <f ca="1">OFFSET(L!$C$1,MATCH("Definitions"&amp;ADDRESS(ROW(),COLUMN(),4),L!$A:$A,0)-1,SL,,)</f>
        <v>Absichtlich hinzugefügt</v>
      </c>
      <c r="C13" s="77"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3" s="375"/>
      <c r="E13" s="132" t="s">
        <v>1442</v>
      </c>
    </row>
    <row r="14" spans="1:5" ht="135">
      <c r="A14" s="90"/>
      <c r="B14" s="77" t="str">
        <f ca="1">OFFSET(L!$C$1,MATCH("Definitions"&amp;ADDRESS(ROW(),COLUMN(),4),L!$A:$A,0)-1,SL,,)</f>
        <v>IPC</v>
      </c>
      <c r="C14" s="77"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5" s="375"/>
      <c r="E15" s="132" t="s">
        <v>1442</v>
      </c>
    </row>
    <row r="16" spans="1:5" ht="180">
      <c r="A16" s="90"/>
      <c r="B16" s="77" t="str">
        <f ca="1">OFFSET(L!$C$1,MATCH("Definitions"&amp;ADDRESS(ROW(),COLUMN(),4),L!$A:$A,0)-1,SL,,)</f>
        <v>Erforderlich für die Funktionalität des Produkts</v>
      </c>
      <c r="C16" s="77"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6" s="375"/>
      <c r="E16" s="132" t="s">
        <v>1442</v>
      </c>
    </row>
    <row r="17" spans="1:5" ht="150">
      <c r="A17" s="90"/>
      <c r="B17" s="77" t="str">
        <f ca="1">OFFSET(L!$C$1,MATCH("Definitions"&amp;ADDRESS(ROW(),COLUMN(),4),L!$A:$A,0)-1,SL,,)</f>
        <v>Erforderlich für die Herstellung eines Produkt</v>
      </c>
      <c r="C17" s="77"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7" s="375"/>
      <c r="E17" s="132" t="s">
        <v>1442</v>
      </c>
    </row>
    <row r="18" spans="1:5" ht="15">
      <c r="A18" s="90"/>
      <c r="B18" s="77" t="str">
        <f ca="1">OFFSET(L!$C$1,MATCH("Definitions"&amp;ADDRESS(ROW(),COLUMN(),4),L!$A:$A,0)-1,SL,,)</f>
        <v>OECD</v>
      </c>
      <c r="C18" s="77" t="str">
        <f ca="1">OFFSET(L!$C$1,MATCH("Definitions"&amp;ADDRESS(ROW(),COLUMN(),4),L!$A:$A,0)-1,SL,,)</f>
        <v>Organisation für wirtschaftliche Zusammenarbeit und Entwicklung</v>
      </c>
      <c r="D18" s="375"/>
      <c r="E18" s="132"/>
    </row>
    <row r="19" spans="1:5" ht="45">
      <c r="A19" s="90"/>
      <c r="B19" s="77" t="str">
        <f ca="1">OFFSET(L!$C$1,MATCH("Definitions"&amp;ADDRESS(ROW(),COLUMN(),4),L!$A:$A,0)-1,SL,,)</f>
        <v>Produkt</v>
      </c>
      <c r="C19" s="77"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Recycling oder Schrott Quellen</v>
      </c>
      <c r="C21" s="77"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1" s="375"/>
      <c r="E21" s="132"/>
    </row>
    <row r="22" spans="1:5" ht="60">
      <c r="A22" s="90"/>
      <c r="B22" s="77" t="str">
        <f ca="1">OFFSET(L!$C$1,MATCH("Definitions"&amp;ADDRESS(ROW(),COLUMN(),4),L!$A:$A,0)-1,SL,,)</f>
        <v>Responsible Minerals Assurance Process (RMAP)</v>
      </c>
      <c r="C22" s="77"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3" s="375"/>
      <c r="E23" s="132"/>
    </row>
    <row r="24" spans="1:5" ht="135">
      <c r="A24" s="90"/>
      <c r="B24" s="77" t="str">
        <f ca="1">OFFSET(L!$C$1,MATCH("Definitions"&amp;ADDRESS(ROW(),COLUMN(),4),L!$A:$A,0)-1,SL,,)</f>
        <v>RMAP Compliant Smelter Liste</v>
      </c>
      <c r="C24" s="77"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Schmelzhütte</v>
      </c>
      <c r="C26" s="77"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75"/>
      <c r="E26" s="132" t="s">
        <v>1442</v>
      </c>
    </row>
    <row r="27" spans="1:5" ht="60">
      <c r="A27" s="90"/>
      <c r="B27" s="77" t="str">
        <f ca="1">OFFSET(L!$C$1,MATCH("Definitions"&amp;ADDRESS(ROW(),COLUMN(),4),L!$A:$A,0)-1,SL,,)</f>
        <v>Schmelzhütte Id-Nummer</v>
      </c>
      <c r="C27" s="77"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75"/>
      <c r="E27" s="132" t="s">
        <v>1443</v>
      </c>
    </row>
    <row r="28" spans="1:5" ht="108" customHeight="1">
      <c r="A28" s="90"/>
      <c r="B28" s="77" t="str">
        <f ca="1">OFFSET(L!$C$1,MATCH("Definitions"&amp;ADDRESS(ROW(),COLUMN(),4),L!$A:$A,0)-1,SL,,)</f>
        <v>Tantal (Ta) Schmelzhütte</v>
      </c>
      <c r="C28" s="77" t="str">
        <f ca="1">OFFSET(L!$C$1,MATCH("Definitions"&amp;ADDRESS(ROW(),COLUMN(),4),L!$A:$A,0)-1,SL,,)</f>
        <v>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8" s="375"/>
      <c r="E28" s="132" t="s">
        <v>1444</v>
      </c>
    </row>
    <row r="29" spans="1:5" ht="121.5" customHeight="1">
      <c r="A29" s="90"/>
      <c r="B29" s="77" t="str">
        <f ca="1">OFFSET(L!$C$1,MATCH("Definitions"&amp;ADDRESS(ROW(),COLUMN(),4),L!$A:$A,0)-1,SL,,)</f>
        <v>Zinn (Sn) Schmelzhütte</v>
      </c>
      <c r="C29" s="77"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v>
      </c>
      <c r="D29" s="375"/>
      <c r="E29" s="132" t="s">
        <v>1445</v>
      </c>
    </row>
    <row r="30" spans="1:5" ht="122.25" customHeight="1">
      <c r="A30" s="90"/>
      <c r="B30" s="77" t="str">
        <f ca="1">OFFSET(L!$C$1,MATCH("Definitions"&amp;ADDRESS(ROW(),COLUMN(),4),L!$A:$A,0)-1,SL,,)</f>
        <v>Wolfram (W) Schmelzhütte</v>
      </c>
      <c r="C30" s="77"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8" t="str">
        <f ca="1">OFFSET(L!$C$1,MATCH("Declaration"&amp;ADDRESS(ROW(),COLUMN(),4),L!$A:$A,0)-1,SL,,)</f>
        <v>Conflict Minerals Reporting Template (CMRT)</v>
      </c>
      <c r="E2" s="409"/>
      <c r="F2" s="409"/>
      <c r="G2" s="409"/>
      <c r="H2" s="409"/>
      <c r="I2" s="409"/>
      <c r="J2" s="410"/>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608</v>
      </c>
      <c r="E3" s="12"/>
      <c r="F3" s="418"/>
      <c r="G3" s="418"/>
      <c r="H3" s="418"/>
      <c r="I3" s="186"/>
      <c r="J3" s="172" t="s">
        <v>15472</v>
      </c>
      <c r="K3" s="47"/>
      <c r="L3" s="143"/>
      <c r="M3" s="134"/>
      <c r="N3" s="134"/>
      <c r="O3" s="135"/>
      <c r="P3" s="148">
        <f>MATCH($D$3,LN,0)</f>
        <v>7</v>
      </c>
    </row>
    <row r="4" spans="1:34" ht="15.75">
      <c r="A4" s="45"/>
      <c r="B4" s="414" t="str">
        <f ca="1">OFFSET(L!$C$1,MATCH("Declaration"&amp;ADDRESS(ROW(),COLUMN(),4),L!$A:$A,0)-1,SL,,)</f>
        <v>Der Zweck dieses Dokuments ist die Erfassung von Beschaffungsinformationen für Zinn, Tantal, Wolfram und Gold, welche in Produkten genutzt werden.</v>
      </c>
      <c r="C4" s="414"/>
      <c r="D4" s="414"/>
      <c r="E4" s="414"/>
      <c r="F4" s="414"/>
      <c r="G4" s="414"/>
      <c r="H4" s="414"/>
      <c r="I4" s="419" t="str">
        <f ca="1">OFFSET(L!$C$1,MATCH("Declaration"&amp;ADDRESS(ROW(),COLUMN(),4),L!$A:$A,0)-1,SL,,)</f>
        <v>Link zu den Bedingungen</v>
      </c>
      <c r="J4" s="419"/>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Pflichtfelder sind mit einem Sternchen (*) gekennzeichnet.  Im Tab „Instruktionen“ finden Sie eine Anleitung zur Beantwortung aller Fragen.</v>
      </c>
      <c r="C6" s="414"/>
      <c r="D6" s="414"/>
      <c r="E6" s="414"/>
      <c r="F6" s="414"/>
      <c r="G6" s="414"/>
      <c r="H6" s="414"/>
      <c r="I6" s="414"/>
      <c r="J6" s="414"/>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3" t="str">
        <f ca="1">OFFSET(L!$C$1,MATCH("Declaration"&amp;ADDRESS(ROW(),COLUMN(),4),L!$A:$A,0)-1,SL,,)</f>
        <v>Firmenangaben</v>
      </c>
      <c r="C7" s="423"/>
      <c r="D7" s="423"/>
      <c r="E7" s="423"/>
      <c r="F7" s="423"/>
      <c r="G7" s="423"/>
      <c r="H7" s="423"/>
      <c r="I7" s="423"/>
      <c r="J7" s="423"/>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Firmenname (*):</v>
      </c>
      <c r="C8" s="92"/>
      <c r="D8" s="411" t="s">
        <v>15494</v>
      </c>
      <c r="E8" s="412"/>
      <c r="F8" s="412"/>
      <c r="G8" s="412"/>
      <c r="H8" s="412"/>
      <c r="I8" s="412"/>
      <c r="J8" s="413"/>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Geltungsbereich der Erklärung (*):</v>
      </c>
      <c r="C9" s="92"/>
      <c r="D9" s="420" t="s">
        <v>564</v>
      </c>
      <c r="E9" s="421"/>
      <c r="F9" s="421"/>
      <c r="G9" s="422"/>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4" t="str">
        <f ca="1">OFFSET(L!$C$1,MATCH("Declaration"&amp;ADDRESS(ROW(),COLUMN(),4)&amp;LEFT($D$9,1),L!$A:$A,0)-1,SL,,)</f>
        <v>Beschreibung des Geltungsbereichs</v>
      </c>
      <c r="C10" s="155"/>
      <c r="D10" s="415" t="s">
        <v>15495</v>
      </c>
      <c r="E10" s="416"/>
      <c r="F10" s="416"/>
      <c r="G10" s="416"/>
      <c r="H10" s="416"/>
      <c r="I10" s="416"/>
      <c r="J10" s="417"/>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5"/>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Eindeutige Unternehmenskennung:</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Zuständige Stelle im Unternehmen:</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Adresse:</v>
      </c>
      <c r="C14" s="93"/>
      <c r="D14" s="401" t="s">
        <v>15496</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Name des Ansprechpartners (*):</v>
      </c>
      <c r="C15" s="93"/>
      <c r="D15" s="401" t="s">
        <v>15497</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E-Mail-Adresse des Ansprechpartners (*):</v>
      </c>
      <c r="C16" s="93"/>
      <c r="D16" s="443" t="s">
        <v>15498</v>
      </c>
      <c r="E16" s="426"/>
      <c r="F16" s="426"/>
      <c r="G16" s="426"/>
      <c r="H16" s="426"/>
      <c r="I16" s="426"/>
      <c r="J16" s="427"/>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Telefonnummer des Ansprechpartners (*):</v>
      </c>
      <c r="C17" s="93"/>
      <c r="D17" s="401" t="s">
        <v>15499</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Bevollmächtigter (*):</v>
      </c>
      <c r="C18" s="93"/>
      <c r="D18" s="401" t="s">
        <v>15500</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Titel des Bevollmächtigten:</v>
      </c>
      <c r="C19" s="93"/>
      <c r="D19" s="401" t="s">
        <v>15501</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E-Mail-Adresse des Bevollmächtigten (*):</v>
      </c>
      <c r="C20" s="93"/>
      <c r="D20" s="443" t="s">
        <v>15502</v>
      </c>
      <c r="E20" s="426"/>
      <c r="F20" s="426"/>
      <c r="G20" s="426"/>
      <c r="H20" s="426"/>
      <c r="I20" s="426"/>
      <c r="J20" s="427"/>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Telefonnummer des Bevollmächtigten (*):</v>
      </c>
      <c r="C21" s="167"/>
      <c r="D21" s="401" t="s">
        <v>15503</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Datum (*):</v>
      </c>
      <c r="C22" s="94"/>
      <c r="D22" s="428">
        <v>43880</v>
      </c>
      <c r="E22" s="42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0" t="str">
        <f ca="1">OFFSET(L!$C$1,MATCH("Declaration"&amp;ADDRESS(ROW(),COLUMN(),4),L!$A:$A,0)-1,SL,,)</f>
        <v>Beantworten Sie die Fragen 1 - 7 entsprechend dem oben angegebenen Geltungsbereich</v>
      </c>
      <c r="C24" s="430"/>
      <c r="D24" s="430"/>
      <c r="E24" s="430"/>
      <c r="F24" s="430"/>
      <c r="G24" s="430"/>
      <c r="H24" s="430"/>
      <c r="I24" s="430"/>
      <c r="J24" s="43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Wird absichtlich ein 3TG-Mineral im Herstellungsprozess verwendet oder in das/die Produkt(e) aufgenommen? (*)</v>
      </c>
      <c r="C25" s="20"/>
      <c r="D25" s="391" t="str">
        <f ca="1">OFFSET(L!$C$1,MATCH("Declaration"&amp;ADDRESS(ROW(),COLUMN(),4),L!$A:$A,0)-1,SL,,)</f>
        <v>Antwort</v>
      </c>
      <c r="E25" s="391"/>
      <c r="F25" s="21"/>
      <c r="G25" s="55" t="str">
        <f ca="1">OFFSET(L!$C$1,MATCH("Declaration"&amp;ADDRESS(ROW(),COLUMN(),4),L!$A:$A,0)-1,SL,,)</f>
        <v>Kommentare</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Zinn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Wolfram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 xml:space="preserve">2) Liegen in dem/den Produkt(en) 3TG-Rückstände vor? </v>
      </c>
      <c r="C31" s="13"/>
      <c r="D31" s="397" t="str">
        <f ca="1">D25</f>
        <v>Antwort</v>
      </c>
      <c r="E31" s="397"/>
      <c r="F31" s="21"/>
      <c r="G31" s="55" t="str">
        <f ca="1">G25</f>
        <v>Kommentare</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Zinn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Wolfram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Beschaffen Schmelzöfen in Ihrer Lieferkette das 3TG-Mineral aus den umfassten Ländern? (SEC-Begriff, siehe Definitions-Tab)</v>
      </c>
      <c r="C37" s="13"/>
      <c r="D37" s="397" t="str">
        <f ca="1">D25</f>
        <v>Antwort</v>
      </c>
      <c r="E37" s="397"/>
      <c r="F37" s="21"/>
      <c r="G37" s="55" t="str">
        <f ca="1">G25</f>
        <v>Kommentare</v>
      </c>
      <c r="H37" s="400"/>
      <c r="I37" s="400"/>
      <c r="J37" s="400"/>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Zinn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Wolfram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Stammt das für die Funktionalität oder  Herstellung Ihrer Produkte benötigte 3TG-Mineral zu 100 % aus Recycling- oder Schrottquellen? </v>
      </c>
      <c r="C43" s="13"/>
      <c r="D43" s="397" t="str">
        <f ca="1">D25</f>
        <v>Antwort</v>
      </c>
      <c r="E43" s="397"/>
      <c r="F43" s="21"/>
      <c r="G43" s="55" t="str">
        <f ca="1">G25</f>
        <v>Kommentare</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Zinn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Wolfram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Wie hoch ist der Prozentsatz an Lieferanten, die auf Ihre Lieferkettenumfrage geantwortet haben?</v>
      </c>
      <c r="C49" s="13"/>
      <c r="D49" s="397" t="str">
        <f ca="1">D25</f>
        <v>Antwort</v>
      </c>
      <c r="E49" s="397"/>
      <c r="F49" s="21"/>
      <c r="G49" s="55" t="str">
        <f ca="1">G25</f>
        <v>Kommentare</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Zinn  </v>
      </c>
      <c r="C51" s="46"/>
      <c r="D51" s="398"/>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Wolfram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Haben Sie alle Schmelzhütten ermittelt, die das 3TG-Mineral für Ihre Lieferkette bereitstellen? </v>
      </c>
      <c r="C55" s="13"/>
      <c r="D55" s="397" t="str">
        <f ca="1">D25</f>
        <v>Antwort</v>
      </c>
      <c r="E55" s="397"/>
      <c r="F55" s="21"/>
      <c r="G55" s="55" t="str">
        <f ca="1">G25</f>
        <v>Kommentare</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Zinn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Wolfram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Haben Sie alle relevanten Informationen, die Ihr Unternehmen zu den Schmelzhütten erhalten hat, in dieser Erklärung aufgeführt? </v>
      </c>
      <c r="C61" s="13"/>
      <c r="D61" s="397" t="str">
        <f ca="1">D25</f>
        <v>Antwort</v>
      </c>
      <c r="E61" s="397"/>
      <c r="F61" s="21"/>
      <c r="G61" s="55" t="str">
        <f ca="1">G25</f>
        <v>Kommentare</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Zinn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Wolfram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Beantworten Sie folgende Fragen auf Firmenebene</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Frage</v>
      </c>
      <c r="C68" s="97"/>
      <c r="D68" s="391" t="str">
        <f ca="1">D25</f>
        <v>Antwort</v>
      </c>
      <c r="E68" s="391"/>
      <c r="F68" s="64"/>
      <c r="G68" s="391" t="str">
        <f ca="1">G25</f>
        <v>Kommentare</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Haben Sie eine Beschaffungsrichtlinie für Konfliktmineralien aufgestellt?</v>
      </c>
      <c r="C69" s="68"/>
      <c r="D69" s="377" t="s">
        <v>559</v>
      </c>
      <c r="E69" s="378"/>
      <c r="F69" s="68"/>
      <c r="G69" s="379" t="s">
        <v>15504</v>
      </c>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Ist Ihre Richtlinie zur Beschaffung von Konfliktmineralien öffentlich auf ihrer Website verfügbar? (Hinweis: Wenn "Ja" geben Sie die URL im Feld "Kommentar" an.)</v>
      </c>
      <c r="C71" s="68"/>
      <c r="D71" s="377" t="s">
        <v>559</v>
      </c>
      <c r="E71" s="378"/>
      <c r="F71" s="68"/>
      <c r="G71" s="379" t="s">
        <v>15504</v>
      </c>
      <c r="H71" s="380"/>
      <c r="I71" s="380"/>
      <c r="J71" s="381"/>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Verlangen Sie von Ihren direkten Lieferanten, "DRC-konfliktfrei" zu sein?</v>
      </c>
      <c r="C73" s="68"/>
      <c r="D73" s="377" t="s">
        <v>559</v>
      </c>
      <c r="E73" s="378"/>
      <c r="F73" s="68"/>
      <c r="G73" s="379" t="s">
        <v>15504</v>
      </c>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Verlangen Sie von Ihren direkten Lieferanten, das 3TG-Mineral ausschließlich von Schmelzhütten zu beziehen, deren Due-Diligence-Praktiken von einer unabhängigen Instanz überprüft wurden?</v>
      </c>
      <c r="C75" s="68"/>
      <c r="D75" s="377" t="s">
        <v>559</v>
      </c>
      <c r="E75" s="378"/>
      <c r="F75" s="68"/>
      <c r="G75" s="379" t="s">
        <v>15504</v>
      </c>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Haben Sie angemesse Prüfmaßnahmen für konfliktfreie Beschaffung eingeführt?</v>
      </c>
      <c r="C77" s="68"/>
      <c r="D77" s="377" t="s">
        <v>559</v>
      </c>
      <c r="E77" s="378"/>
      <c r="F77" s="68"/>
      <c r="G77" s="379" t="s">
        <v>15504</v>
      </c>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Veranstaltet Ihr Unternehmen (eine) Konfliktmineralienumfrage(n) mit seinen entsprechenden Lieferanten?</v>
      </c>
      <c r="C79" s="68"/>
      <c r="D79" s="386" t="s">
        <v>559</v>
      </c>
      <c r="E79" s="387"/>
      <c r="F79" s="68"/>
      <c r="G79" s="379" t="s">
        <v>15504</v>
      </c>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Überprüfen Sie die Due-Diligence-Informationen, die Sie von ihren Lieferanten erhalten, anhand der Erwartungen Ihres Unternehmens?</v>
      </c>
      <c r="C81" s="68"/>
      <c r="D81" s="377" t="s">
        <v>559</v>
      </c>
      <c r="E81" s="378"/>
      <c r="F81" s="68"/>
      <c r="G81" s="379" t="s">
        <v>15504</v>
      </c>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Sieht Ihr Review-Prozess ein Korrekturmaßnahmen-Management vor?</v>
      </c>
      <c r="C83" s="68"/>
      <c r="D83" s="377" t="s">
        <v>559</v>
      </c>
      <c r="E83" s="378"/>
      <c r="F83" s="68"/>
      <c r="G83" s="379" t="s">
        <v>15504</v>
      </c>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ustomHeight="1">
      <c r="A85" s="52"/>
      <c r="B85" s="67" t="str">
        <f ca="1">OFFSET(L!$C$1,MATCH("Declaration"&amp;ADDRESS(ROW(),COLUMN(),4),L!$A:$A,0)-1,SL,,)&amp;$Q$37</f>
        <v>I. Ist Ihr Unternehmen zu einer jährlichen Offenlegung der Konfliktmineralien gegenüber der SEC verpflichtet?</v>
      </c>
      <c r="C85" s="68"/>
      <c r="D85" s="377" t="s">
        <v>559</v>
      </c>
      <c r="E85" s="378"/>
      <c r="F85" s="68"/>
      <c r="G85" s="379" t="s">
        <v>15504</v>
      </c>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C3EF7DC6-D90E-4CAA-A733-EA2A312D834D}"/>
    <hyperlink ref="D20" r:id="rId4" xr:uid="{3895C827-1B71-4041-A48C-7DEC03B11A07}"/>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baseColWidth="10"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UM ZU BEGINNEN:</v>
      </c>
      <c r="C2" s="205"/>
      <c r="D2" s="205"/>
      <c r="E2" s="205"/>
      <c r="F2" s="230"/>
      <c r="G2" s="230"/>
      <c r="H2" s="230"/>
      <c r="I2" s="231"/>
      <c r="J2" s="431" t="str">
        <f ca="1">OFFSET(L!$C$1,MATCH("Smelter List"&amp;ADDRESS(ROW(),COLUMN(),4),L!$A:$A,0)-1,SL,,)</f>
        <v>Link zur "RMAP Compliant Smelter"- Liste</v>
      </c>
      <c r="K2" s="432"/>
      <c r="L2" s="432"/>
      <c r="M2" s="432"/>
      <c r="N2" s="432"/>
      <c r="O2" s="432"/>
      <c r="P2" s="232"/>
      <c r="Q2" s="233"/>
      <c r="R2" s="234"/>
      <c r="S2" s="234"/>
      <c r="T2" s="234"/>
      <c r="U2" s="261"/>
      <c r="V2" s="261"/>
      <c r="W2" s="262"/>
      <c r="X2" s="261"/>
      <c r="Y2" s="261"/>
      <c r="Z2" s="261"/>
      <c r="AH2" s="178" t="s">
        <v>558</v>
      </c>
    </row>
    <row r="3" spans="1:34" s="263" customFormat="1" ht="255.6" customHeight="1">
      <c r="A3" s="204"/>
      <c r="B3" s="433"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33"/>
      <c r="D3" s="433"/>
      <c r="E3" s="433"/>
      <c r="F3" s="264"/>
      <c r="G3" s="434" t="str">
        <f ca="1">OFFSET(L!$C$1,MATCH("General"&amp;"Cpy",L!$A:$A,0)-1,SL,,)</f>
        <v>© 2019 Responsible Minerals Initiative. All rights reserved.</v>
      </c>
      <c r="H3" s="434"/>
      <c r="I3" s="435"/>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 xml:space="preserve">Eingabespalte Schmelzofenidentifizierungsnummer </v>
      </c>
      <c r="B4" s="255" t="str">
        <f ca="1">OFFSET(L!$C$1,MATCH("Smelter List"&amp;ADDRESS(ROW(),COLUMN(),4),L!$A:$A,0)-1,SL,,)</f>
        <v>Metall (1)</v>
      </c>
      <c r="C4" s="255" t="str">
        <f ca="1">OFFSET(L!$C$1,MATCH("Smelter List"&amp;ADDRESS(ROW(),COLUMN(),4),L!$A:$A,0)-1,SL,,)</f>
        <v>Schmelzofensuche (*)</v>
      </c>
      <c r="D4" s="255" t="str">
        <f ca="1">OFFSET(L!$C$1,MATCH("Smelter List"&amp;ADDRESS(ROW(),COLUMN(),4),L!$A:$A,0)-1,SL,,)</f>
        <v>Schmelzofenname (1)</v>
      </c>
      <c r="E4" s="255" t="str">
        <f ca="1">OFFSET(L!$C$1,MATCH("Smelter List"&amp;ADDRESS(ROW(),COLUMN(),4),L!$A:$A,0)-1,SL,,)</f>
        <v>Schmelzhütten: Land (*)</v>
      </c>
      <c r="F4" s="255" t="str">
        <f ca="1">OFFSET(L!$C$1,MATCH("Smelter List"&amp;ADDRESS(ROW(),COLUMN(),4),L!$A:$A,0)-1,SL,,)</f>
        <v>Schmelzhütte Identifizierung</v>
      </c>
      <c r="G4" s="255" t="str">
        <f ca="1">OFFSET(L!$C$1,MATCH("Smelter List"&amp;ADDRESS(ROW(),COLUMN(),4),L!$A:$A,0)-1,SL,,)</f>
        <v>Quelle der Schmelzhütte Id-Nummer</v>
      </c>
      <c r="H4" s="177" t="str">
        <f ca="1">OFFSET(L!$C$1,MATCH("Smelter List"&amp;ADDRESS(ROW(),COLUMN(),4),L!$A:$A,0)-1,SL,,)</f>
        <v>Schmelzhütten: Straße</v>
      </c>
      <c r="I4" s="177" t="str">
        <f ca="1">OFFSET(L!$C$1,MATCH("Smelter List"&amp;ADDRESS(ROW(),COLUMN(),4),L!$A:$A,0)-1,SL,,)</f>
        <v>Schmelzhütten: Stadt</v>
      </c>
      <c r="J4" s="177" t="str">
        <f ca="1">OFFSET(L!$C$1,MATCH("Smelter List"&amp;ADDRESS(ROW(),COLUMN(),4),L!$A:$A,0)-1,SL,,)</f>
        <v>Schmelzhütten: Bundesland/Provinz</v>
      </c>
      <c r="K4" s="177" t="str">
        <f ca="1">OFFSET(L!$C$1,MATCH("Smelter List"&amp;ADDRESS(ROW(),COLUMN(),4),L!$A:$A,0)-1,SL,,)</f>
        <v xml:space="preserve">Schmelzhütten-Ansprechpartner: Name </v>
      </c>
      <c r="L4" s="177" t="str">
        <f ca="1">OFFSET(L!$C$1,MATCH("Smelter List"&amp;ADDRESS(ROW(),COLUMN(),4),L!$A:$A,0)-1,SL,,)</f>
        <v>Schmelzhütten-Ansprechpartner: E-mail</v>
      </c>
      <c r="M4" s="177" t="str">
        <f ca="1">OFFSET(L!$C$1,MATCH("Smelter List"&amp;ADDRESS(ROW(),COLUMN(),4),L!$A:$A,0)-1,SL,,)</f>
        <v>Vorgeschlagenen nächsten Schritte</v>
      </c>
      <c r="N4" s="177" t="str">
        <f ca="1">OFFSET(L!$C$1,MATCH("Smelter List"&amp;ADDRESS(ROW(),COLUMN(),4),L!$A:$A,0)-1,SL,,)</f>
        <v>Name der Mine(n) oder falls aus Recycling oder Schrott, tragen Sie "recycled" oder "Schrott" ein</v>
      </c>
      <c r="O4" s="177" t="str">
        <f ca="1">OFFSET(L!$C$1,MATCH("Smelter List"&amp;ADDRESS(ROW(),COLUMN(),4),L!$A:$A,0)-1,SL,,)</f>
        <v>Standort (Land) von Minen, falls aus Recycling oder Schrott gekauft, geben Sie "recycled" oder "Schrott" ein</v>
      </c>
      <c r="P4" s="177" t="str">
        <f ca="1">OFFSET(L!$C$1,MATCH("Smelter List"&amp;ADDRESS(ROW(),COLUMN(),4),L!$A:$A,0)-1,SL,,)</f>
        <v>Stammen 100% der Ausgangsstoffe der Schmelzhütte aus Recycling oder Schrott?</v>
      </c>
      <c r="Q4" s="178" t="str">
        <f ca="1">OFFSET(L!$C$1,MATCH("Smelter List"&amp;ADDRESS(ROW(),COLUMN(),4),L!$A:$A,0)-1,SL,,)</f>
        <v>Kommentare</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3" activePane="bottomRight" state="frozen"/>
      <selection pane="topRight" activeCell="B1" sqref="B1"/>
      <selection pane="bottomLeft" activeCell="A4" sqref="A4"/>
      <selection pane="bottomRight" activeCell="B4" sqref="B4"/>
    </sheetView>
  </sheetViews>
  <sheetFormatPr baseColWidth="10"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6" t="str">
        <f ca="1">OFFSET(L!$C$1,MATCH("Checker"&amp;ADDRESS(ROW(),COLUMN(),4),L!$A:$A,0)-1,SL,,)</f>
        <v>Um sicherzustellen, dass alle erforderlichen Felder vor dem Versand an ihren Kunden ausgefüllt sind, alle rot markierten Felder beachten.</v>
      </c>
      <c r="B1" s="436"/>
      <c r="C1" s="436"/>
      <c r="D1" s="150" t="str">
        <f ca="1">OFFSET(L!$C$1,MATCH("Checker"&amp;ADDRESS(ROW(),COLUMN(),4),L!$A:$A,0)-1,SL,,)</f>
        <v>Erforderliche Felder bitte vervollständigen.</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Erforderliche Felder</v>
      </c>
      <c r="B3" s="82" t="str">
        <f ca="1">OFFSET(L!$C$1,MATCH("Checker"&amp;ADDRESS(ROW(),COLUMN(),4),L!$A:$A,0)-1,SL,,)</f>
        <v>Antwort ist vorhanden</v>
      </c>
      <c r="C3" s="82" t="str">
        <f ca="1">OFFSET(L!$C$1,MATCH("Checker"&amp;ADDRESS(ROW(),COLUMN(),4),L!$A:$A,0)-1,SL,,)</f>
        <v>Notizen</v>
      </c>
      <c r="D3" s="82" t="str">
        <f ca="1">OFFSET(L!$C$1,MATCH("Checker"&amp;ADDRESS(ROW(),COLUMN(),4),L!$A:$A,0)-1,SL,,)</f>
        <v>Hyperlink zum Ursprung</v>
      </c>
      <c r="F3" s="83" t="s">
        <v>598</v>
      </c>
      <c r="G3" s="22" t="s">
        <v>597</v>
      </c>
      <c r="H3" s="22" t="s">
        <v>599</v>
      </c>
      <c r="I3" s="180" t="s">
        <v>1447</v>
      </c>
      <c r="J3" s="22" t="s">
        <v>1448</v>
      </c>
    </row>
    <row r="4" spans="1:10" ht="39">
      <c r="A4" s="106" t="str">
        <f ca="1">Declaration!B8</f>
        <v>Firmenname (*):</v>
      </c>
      <c r="B4" s="105" t="str">
        <f>Declaration!D8</f>
        <v>Radolid Thiel GmbH</v>
      </c>
      <c r="C4" s="105" t="str">
        <f t="shared" ref="C4:C9" ca="1" si="0">IF(H4=1,J4,I4)</f>
        <v>Vollständig</v>
      </c>
      <c r="D4" s="111" t="str">
        <f>IF(H4=1,"Click here to enter Company Name","")</f>
        <v/>
      </c>
      <c r="E4" s="87" t="s">
        <v>1437</v>
      </c>
      <c r="F4" s="109">
        <v>1</v>
      </c>
      <c r="G4" s="84">
        <f t="shared" ref="G4:G9" si="1">IF(B4=0,1,0)</f>
        <v>0</v>
      </c>
      <c r="H4" s="85">
        <f>F4*G4</f>
        <v>0</v>
      </c>
      <c r="I4" s="181" t="str">
        <f ca="1">OFFSET(L!$C$1,MATCH("Checker"&amp;"Comp",L!$A:$A,0)-1,SL,,)</f>
        <v>Vollständig</v>
      </c>
      <c r="J4" s="182" t="str">
        <f ca="1">OFFSET(L!$C$1,MATCH("Checker"&amp;ADDRESS(ROW(),COLUMN(),4),L!$A:$A,0)-1,SL,,)</f>
        <v>Geben Sie den Namen Ihres Unternehmens in der Reiterzelle D8 der Erklärung an</v>
      </c>
    </row>
    <row r="5" spans="1:10" ht="39">
      <c r="A5" s="106" t="str">
        <f ca="1">Declaration!B9</f>
        <v>Geltungsbereich der Erklärung (*):</v>
      </c>
      <c r="B5" s="105" t="str">
        <f>Declaration!D9</f>
        <v>A. Company</v>
      </c>
      <c r="C5" s="105" t="str">
        <f t="shared" ca="1" si="0"/>
        <v>Vollständig</v>
      </c>
      <c r="D5" s="111" t="str">
        <f>IF(H5=1,"Click here to enter Declaration Scope","")</f>
        <v/>
      </c>
      <c r="E5" s="87" t="s">
        <v>1437</v>
      </c>
      <c r="F5" s="109">
        <v>1</v>
      </c>
      <c r="G5" s="84">
        <f t="shared" si="1"/>
        <v>0</v>
      </c>
      <c r="H5" s="85">
        <f t="shared" ref="H5:H23" si="2">F5*G5</f>
        <v>0</v>
      </c>
      <c r="I5" s="181" t="str">
        <f ca="1">OFFSET(L!$C$1,MATCH("Checker"&amp;"Comp",L!$A:$A,0)-1,SL,,)</f>
        <v>Vollständig</v>
      </c>
      <c r="J5" s="182" t="str">
        <f ca="1">OFFSET(L!$C$1,MATCH("Checker"&amp;ADDRESS(ROW(),COLUMN(),4),L!$A:$A,0)-1,SL,,)</f>
        <v>Wählen Sie den Umfang der Erklärung in der Reiterzelle D9 der Erklärung aus</v>
      </c>
    </row>
    <row r="6" spans="1:10" ht="39">
      <c r="A6" s="106" t="str">
        <f ca="1">Declaration!B10</f>
        <v>Beschreibung des Geltungsbereichs</v>
      </c>
      <c r="B6" s="105" t="str">
        <f>Declaration!D10</f>
        <v>RADOLID Schraubenschutzkappen / RADOLID protective caps</v>
      </c>
      <c r="C6" s="105" t="str">
        <f t="shared" ca="1" si="0"/>
        <v>Vollständig</v>
      </c>
      <c r="D6" s="111" t="str">
        <f>IF(H6=1,"Click here to provide a Description of Scope","")</f>
        <v/>
      </c>
      <c r="E6" s="87" t="s">
        <v>1437</v>
      </c>
      <c r="F6" s="110">
        <f>IF(OR(B5=Declaration!P9,B5=Declaration!Q9,B5=0),0,1)</f>
        <v>0</v>
      </c>
      <c r="G6" s="84">
        <f t="shared" si="1"/>
        <v>0</v>
      </c>
      <c r="H6" s="85">
        <f t="shared" si="2"/>
        <v>0</v>
      </c>
      <c r="I6" s="181" t="str">
        <f ca="1">OFFSET(L!$C$1,MATCH("Checker"&amp;"Comp",L!$A:$A,0)-1,SL,,)</f>
        <v>Vollständig</v>
      </c>
      <c r="J6" s="22" t="str">
        <f ca="1">OFFSET(L!$C$1,MATCH("Checker"&amp;ADDRESS(ROW(),COLUMN(),4),L!$A:$A,0)-1,SL,,)</f>
        <v>Geben Sie eine Beschreibung des Umfangs in der Reiterzelle D10 der Erklärung an</v>
      </c>
    </row>
    <row r="7" spans="1:10" ht="39">
      <c r="A7" s="106" t="str">
        <f ca="1">Declaration!B15</f>
        <v>Name des Ansprechpartners (*):</v>
      </c>
      <c r="B7" s="105" t="str">
        <f>Declaration!D15</f>
        <v>Fabian Henkes</v>
      </c>
      <c r="C7" s="105" t="str">
        <f t="shared" ca="1" si="0"/>
        <v>Vollständig</v>
      </c>
      <c r="D7" s="111" t="str">
        <f>IF(H7=1,"Click here to enter Contact Name","")</f>
        <v/>
      </c>
      <c r="E7" s="87" t="s">
        <v>1437</v>
      </c>
      <c r="F7" s="153">
        <v>1</v>
      </c>
      <c r="G7" s="84">
        <f t="shared" si="1"/>
        <v>0</v>
      </c>
      <c r="H7" s="85">
        <f t="shared" si="2"/>
        <v>0</v>
      </c>
      <c r="I7" s="181" t="str">
        <f ca="1">OFFSET(L!$C$1,MATCH("Checker"&amp;"Comp",L!$A:$A,0)-1,SL,,)</f>
        <v>Vollständig</v>
      </c>
      <c r="J7" s="22" t="str">
        <f ca="1">OFFSET(L!$C$1,MATCH("Checker"&amp;ADDRESS(ROW(),COLUMN(),4),L!$A:$A,0)-1,SL,,)</f>
        <v>Geben Sie einen Kontaktnamen in der Reiterzelle D15 der Erklärung an</v>
      </c>
    </row>
    <row r="8" spans="1:10" ht="39">
      <c r="A8" s="106" t="str">
        <f ca="1">Declaration!B16</f>
        <v>E-Mail-Adresse des Ansprechpartners (*):</v>
      </c>
      <c r="B8" s="105" t="str">
        <f>Declaration!D16</f>
        <v>fhenkes@radolid.de</v>
      </c>
      <c r="C8" s="105" t="str">
        <f t="shared" ca="1" si="0"/>
        <v>Vollständig</v>
      </c>
      <c r="D8" s="111" t="str">
        <f>IF(H8=1,"Click here to enter Email-Contact","")</f>
        <v/>
      </c>
      <c r="E8" s="87" t="s">
        <v>1437</v>
      </c>
      <c r="F8" s="153">
        <v>1</v>
      </c>
      <c r="G8" s="84">
        <f>IF(ISNUMBER(SEARCH("@",B8)),0,1)</f>
        <v>0</v>
      </c>
      <c r="H8" s="85">
        <f t="shared" si="2"/>
        <v>0</v>
      </c>
      <c r="I8" s="181" t="str">
        <f ca="1">OFFSET(L!$C$1,MATCH("Checker"&amp;"Comp",L!$A:$A,0)-1,SL,,)</f>
        <v>Vollständig</v>
      </c>
      <c r="J8" s="22" t="str">
        <f ca="1">OFFSET(L!$C$1,MATCH("Checker"&amp;ADDRESS(ROW(),COLUMN(),4),L!$A:$A,0)-1,SL,,)</f>
        <v>Geben Sie eine gültige Kontakt-E-Mail-Adresse in der Reiterzelle D16 der Erklärung an</v>
      </c>
    </row>
    <row r="9" spans="1:10" ht="39">
      <c r="A9" s="106" t="str">
        <f ca="1">Declaration!B17</f>
        <v>Telefonnummer des Ansprechpartners (*):</v>
      </c>
      <c r="B9" s="105" t="str">
        <f>Declaration!D17</f>
        <v>+49 (0)2351/979495</v>
      </c>
      <c r="C9" s="105" t="str">
        <f t="shared" ca="1" si="0"/>
        <v>Vollständig</v>
      </c>
      <c r="D9" s="111" t="str">
        <f>IF(H9=1,"Click here to enter Phone-Contact","")</f>
        <v/>
      </c>
      <c r="E9" s="87" t="s">
        <v>1437</v>
      </c>
      <c r="F9" s="153">
        <v>1</v>
      </c>
      <c r="G9" s="84">
        <f t="shared" si="1"/>
        <v>0</v>
      </c>
      <c r="H9" s="85">
        <f t="shared" si="2"/>
        <v>0</v>
      </c>
      <c r="I9" s="181" t="str">
        <f ca="1">OFFSET(L!$C$1,MATCH("Checker"&amp;"Comp",L!$A:$A,0)-1,SL,,)</f>
        <v>Vollständig</v>
      </c>
      <c r="J9" s="22" t="str">
        <f ca="1">OFFSET(L!$C$1,MATCH("Checker"&amp;ADDRESS(ROW(),COLUMN(),4),L!$A:$A,0)-1,SL,,)</f>
        <v>Geben Sie eine Kontakttelefonnummer in der Reiterzelle D17 der Erklärung an</v>
      </c>
    </row>
    <row r="10" spans="1:10" ht="39">
      <c r="A10" s="106" t="str">
        <f ca="1">Declaration!B18</f>
        <v>Bevollmächtigter (*):</v>
      </c>
      <c r="B10" s="105" t="str">
        <f>Declaration!D18</f>
        <v>Andreas Thiel</v>
      </c>
      <c r="C10" s="105" t="str">
        <f t="shared" ref="C10:C61" ca="1" si="3">IF(H10=1,J10,I10)</f>
        <v>Vollständig</v>
      </c>
      <c r="D10" s="111" t="str">
        <f>IF(H10=1,"Click here to enter an Authorized Company Representative's name","")</f>
        <v/>
      </c>
      <c r="E10" s="87" t="s">
        <v>1437</v>
      </c>
      <c r="F10" s="109">
        <v>1</v>
      </c>
      <c r="G10" s="84">
        <f t="shared" ref="G10:G23" si="4">IF(B10=0,1,0)</f>
        <v>0</v>
      </c>
      <c r="H10" s="85">
        <f t="shared" si="2"/>
        <v>0</v>
      </c>
      <c r="I10" s="181"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6" t="str">
        <f ca="1">Declaration!B20</f>
        <v>E-Mail-Adresse des Bevollmächtigten (*):</v>
      </c>
      <c r="B11" s="105" t="str">
        <f>Declaration!D20</f>
        <v>info@radolid.de</v>
      </c>
      <c r="C11" s="105" t="str">
        <f t="shared" ca="1" si="3"/>
        <v>Vollständig</v>
      </c>
      <c r="D11" s="111" t="str">
        <f>IF(H11=1,"Click here to enter Representative's email","")</f>
        <v/>
      </c>
      <c r="E11" s="87" t="s">
        <v>1437</v>
      </c>
      <c r="F11" s="109">
        <v>1</v>
      </c>
      <c r="G11" s="84">
        <f>IF(ISNUMBER(SEARCH("@",B11)),0,1)</f>
        <v>0</v>
      </c>
      <c r="H11" s="85">
        <f t="shared" si="2"/>
        <v>0</v>
      </c>
      <c r="I11" s="181"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6" t="str">
        <f ca="1">Declaration!B21</f>
        <v>Telefonnummer des Bevollmächtigten (*):</v>
      </c>
      <c r="B12" s="105" t="str">
        <f>Declaration!D21</f>
        <v>+49 (0)2351/979494</v>
      </c>
      <c r="C12" s="105" t="str">
        <f ca="1">IF(H12=1,J12,I12)</f>
        <v>Vollständig</v>
      </c>
      <c r="D12" s="111" t="str">
        <f>IF(H12=1,"Click here to enter Representative's phone","")</f>
        <v/>
      </c>
      <c r="E12" s="87" t="s">
        <v>1437</v>
      </c>
      <c r="F12" s="109">
        <v>1</v>
      </c>
      <c r="G12" s="84">
        <f>IF(B12=0,1,0)</f>
        <v>0</v>
      </c>
      <c r="H12" s="85">
        <f>F12*G12</f>
        <v>0</v>
      </c>
      <c r="I12" s="181" t="str">
        <f ca="1">OFFSET(L!$C$1,MATCH("Checker"&amp;"Comp",L!$A:$A,0)-1,SL,,)</f>
        <v>Vollständig</v>
      </c>
      <c r="J12" s="22" t="str">
        <f ca="1">OFFSET(L!$C$1,MATCH("Checker"&amp;ADDRESS(ROW(),COLUMN(),4),L!$A:$A,0)-1,SL,,)</f>
        <v>Geben Sie eine Telefonnummer eines bevollmächtigten Unternehmensvertreters in der Reiterzelle D21 der Erklärung an</v>
      </c>
    </row>
    <row r="13" spans="1:10" ht="39">
      <c r="A13" s="106" t="str">
        <f ca="1">Declaration!B22</f>
        <v>Datum (*):</v>
      </c>
      <c r="B13" s="107">
        <f>Declaration!D22</f>
        <v>43880</v>
      </c>
      <c r="C13" s="105" t="str">
        <f t="shared" ca="1" si="3"/>
        <v>Vollständig</v>
      </c>
      <c r="D13" s="111" t="str">
        <f>IF(H13=1,"Click here to enter Date of Completion","")</f>
        <v/>
      </c>
      <c r="E13" s="87" t="s">
        <v>1437</v>
      </c>
      <c r="F13" s="109">
        <v>1</v>
      </c>
      <c r="G13" s="84">
        <f t="shared" si="4"/>
        <v>0</v>
      </c>
      <c r="H13" s="85">
        <f t="shared" si="2"/>
        <v>0</v>
      </c>
      <c r="I13" s="181" t="str">
        <f ca="1">OFFSET(L!$C$1,MATCH("Checker"&amp;"Comp",L!$A:$A,0)-1,SL,,)</f>
        <v>Vollständig</v>
      </c>
      <c r="J13" s="22" t="str">
        <f ca="1">OFFSET(L!$C$1,MATCH("Checker"&amp;ADDRESS(ROW(),COLUMN(),4),L!$A:$A,0)-1,SL,,)</f>
        <v>Geben Sie das Datum der Vervollständigung des Formulars in der Reiterzelle D22 der Erklärung an</v>
      </c>
    </row>
    <row r="14" spans="1:10" ht="63.75">
      <c r="A14" s="105" t="str">
        <f ca="1">Declaration!B25</f>
        <v>1) Wird absichtlich ein 3TG-Mineral im Herstellungsprozess verwendet oder in das/die Produkt(e) aufgenommen? (*)</v>
      </c>
      <c r="B14" s="108"/>
      <c r="C14" s="108"/>
      <c r="D14" s="112"/>
      <c r="E14" s="87" t="s">
        <v>921</v>
      </c>
      <c r="F14" s="109"/>
      <c r="G14" s="24"/>
      <c r="H14" s="86">
        <f t="shared" si="2"/>
        <v>0</v>
      </c>
    </row>
    <row r="15" spans="1:10" ht="26.25">
      <c r="A15" s="106" t="str">
        <f ca="1">Declaration!B26</f>
        <v xml:space="preserve">Tantal  </v>
      </c>
      <c r="B15" s="105" t="str">
        <f>Declaration!D26</f>
        <v>No</v>
      </c>
      <c r="C15" s="105" t="str">
        <f t="shared" ca="1" si="3"/>
        <v>Vollständig</v>
      </c>
      <c r="D15" s="111" t="str">
        <f>IF(H15=1,"Click here to answer question 1 for Tantalum","")</f>
        <v/>
      </c>
      <c r="E15" s="87" t="s">
        <v>917</v>
      </c>
      <c r="F15" s="109">
        <v>1</v>
      </c>
      <c r="G15" s="84">
        <f t="shared" si="4"/>
        <v>0</v>
      </c>
      <c r="H15" s="85">
        <f t="shared" si="2"/>
        <v>0</v>
      </c>
      <c r="I15" s="181" t="str">
        <f ca="1">OFFSET(L!$C$1,MATCH("Checker"&amp;"Comp",L!$A:$A,0)-1,SL,,)</f>
        <v>Vollständig</v>
      </c>
      <c r="J15" s="182" t="str">
        <f ca="1">OFFSET(L!$C$1,MATCH("Checker"&amp;ADDRESS(ROW(),COLUMN(),4),L!$A:$A,0)-1,SL,,)</f>
        <v>Erklären Sie in der Reiterzelle D26 der Erklärung, ob Tantalum Ihren Produkten absichtlich hinzugefügt wird</v>
      </c>
    </row>
    <row r="16" spans="1:10" ht="39">
      <c r="A16" s="106" t="str">
        <f ca="1">Declaration!B27</f>
        <v xml:space="preserve">Zinn  </v>
      </c>
      <c r="B16" s="105" t="str">
        <f>Declaration!D27</f>
        <v>No</v>
      </c>
      <c r="C16" s="105" t="str">
        <f t="shared" ca="1" si="3"/>
        <v>Vollständig</v>
      </c>
      <c r="D16" s="111" t="str">
        <f>IF(H16=1,"Click here to answer question 1 for Tin","")</f>
        <v/>
      </c>
      <c r="E16" s="87" t="s">
        <v>918</v>
      </c>
      <c r="F16" s="109">
        <v>1</v>
      </c>
      <c r="G16" s="84">
        <f t="shared" si="4"/>
        <v>0</v>
      </c>
      <c r="H16" s="85">
        <f t="shared" si="2"/>
        <v>0</v>
      </c>
      <c r="I16" s="181" t="str">
        <f ca="1">OFFSET(L!$C$1,MATCH("Checker"&amp;"Comp",L!$A:$A,0)-1,SL,,)</f>
        <v>Vollständig</v>
      </c>
      <c r="J16" s="182" t="str">
        <f ca="1">OFFSET(L!$C$1,MATCH("Checker"&amp;ADDRESS(ROW(),COLUMN(),4),L!$A:$A,0)-1,SL,,)</f>
        <v>Erklären Sie in der Reiterzelle D27 der Erklärung, ob Zinn Ihren Produkten absichtlich hinzugefügt wird</v>
      </c>
    </row>
    <row r="17" spans="1:10" ht="39">
      <c r="A17" s="106" t="str">
        <f ca="1">Declaration!B28</f>
        <v xml:space="preserve">Gold  </v>
      </c>
      <c r="B17" s="105" t="str">
        <f>Declaration!D28</f>
        <v>No</v>
      </c>
      <c r="C17" s="105" t="str">
        <f t="shared" ca="1" si="3"/>
        <v>Vollständig</v>
      </c>
      <c r="D17" s="111" t="str">
        <f>IF(H17=1,"Click here to answer question 1 for Gold","")</f>
        <v/>
      </c>
      <c r="E17" s="87" t="s">
        <v>918</v>
      </c>
      <c r="F17" s="109">
        <v>1</v>
      </c>
      <c r="G17" s="84">
        <f t="shared" si="4"/>
        <v>0</v>
      </c>
      <c r="H17" s="85">
        <f t="shared" si="2"/>
        <v>0</v>
      </c>
      <c r="I17" s="181" t="str">
        <f ca="1">OFFSET(L!$C$1,MATCH("Checker"&amp;"Comp",L!$A:$A,0)-1,SL,,)</f>
        <v>Vollständig</v>
      </c>
      <c r="J17" s="182" t="str">
        <f ca="1">OFFSET(L!$C$1,MATCH("Checker"&amp;ADDRESS(ROW(),COLUMN(),4),L!$A:$A,0)-1,SL,,)</f>
        <v>Erklären Sie in der Reiterzelle D28 der Erklärung, ob Gold Ihren Produkten absichtlich hinzugefügt wird</v>
      </c>
    </row>
    <row r="18" spans="1:10" ht="39">
      <c r="A18" s="106" t="str">
        <f ca="1">Declaration!B29</f>
        <v xml:space="preserve">Wolfram  </v>
      </c>
      <c r="B18" s="105" t="str">
        <f>Declaration!D29</f>
        <v>No</v>
      </c>
      <c r="C18" s="105" t="str">
        <f t="shared" ca="1" si="3"/>
        <v>Vollständig</v>
      </c>
      <c r="D18" s="111" t="str">
        <f>IF(H18=1,"Click here to answer question 1 for Tungsten","")</f>
        <v/>
      </c>
      <c r="E18" s="87" t="s">
        <v>918</v>
      </c>
      <c r="F18" s="109">
        <v>1</v>
      </c>
      <c r="G18" s="84">
        <f t="shared" si="4"/>
        <v>0</v>
      </c>
      <c r="H18" s="85">
        <f t="shared" si="2"/>
        <v>0</v>
      </c>
      <c r="I18" s="181" t="str">
        <f ca="1">OFFSET(L!$C$1,MATCH("Checker"&amp;"Comp",L!$A:$A,0)-1,SL,,)</f>
        <v>Vollständig</v>
      </c>
      <c r="J18" s="182" t="str">
        <f ca="1">OFFSET(L!$C$1,MATCH("Checker"&amp;ADDRESS(ROW(),COLUMN(),4),L!$A:$A,0)-1,SL,,)</f>
        <v>Erklären Sie in der Reiterzelle D29 der Erklärung, ob Tungsten Ihren Produkten absichtlich hinzugefügt wird</v>
      </c>
    </row>
    <row r="19" spans="1:10" ht="51">
      <c r="A19" s="105" t="str">
        <f ca="1">Declaration!B31</f>
        <v xml:space="preserve">2) Liegen in dem/den Produkt(en) 3TG-Rückstände vor? </v>
      </c>
      <c r="B19" s="108"/>
      <c r="C19" s="108"/>
      <c r="D19" s="112"/>
      <c r="E19" s="87" t="s">
        <v>919</v>
      </c>
      <c r="F19" s="109"/>
      <c r="G19" s="24"/>
      <c r="H19" s="24"/>
      <c r="J19" s="182"/>
    </row>
    <row r="20" spans="1:10" ht="39">
      <c r="A20" s="106" t="str">
        <f ca="1">Declaration!B32</f>
        <v xml:space="preserve">Tantal  </v>
      </c>
      <c r="B20" s="105">
        <f>IF($B$15="Yes",Declaration!D32,0)</f>
        <v>0</v>
      </c>
      <c r="C20" s="105" t="str">
        <f t="shared" ca="1" si="3"/>
        <v>Vollständig</v>
      </c>
      <c r="D20" s="113" t="str">
        <f>IF(H20=1,"Click here to answer question 2 for Tantalum","")</f>
        <v/>
      </c>
      <c r="E20" s="87" t="s">
        <v>918</v>
      </c>
      <c r="F20" s="110">
        <f>IF(B$15="No",0,1)</f>
        <v>0</v>
      </c>
      <c r="G20" s="84">
        <f t="shared" si="4"/>
        <v>1</v>
      </c>
      <c r="H20" s="85">
        <f t="shared" si="2"/>
        <v>0</v>
      </c>
      <c r="I20" s="181" t="str">
        <f ca="1">OFFSET(L!$C$1,MATCH("Checker"&amp;"Comp",L!$A:$A,0)-1,SL,,)</f>
        <v>Vollständig</v>
      </c>
      <c r="J20" s="182" t="str">
        <f ca="1">OFFSET(L!$C$1,MATCH("Checker"&amp;ADDRESS(ROW(),COLUMN(),4),L!$A:$A,0)-1,SL,,)</f>
        <v>Erklären Sie in der Reiterzelle D32 der Erklärung, ob Tantalum für die Herstellung Ihrer Produkte erforderlich ist und ob es in den angegebenen Endprodukten enthalten ist</v>
      </c>
    </row>
    <row r="21" spans="1:10" ht="39">
      <c r="A21" s="106" t="str">
        <f ca="1">Declaration!B33</f>
        <v xml:space="preserve">Zinn  </v>
      </c>
      <c r="B21" s="105">
        <f>IF($B$16="Yes",Declaration!D33,0)</f>
        <v>0</v>
      </c>
      <c r="C21" s="105" t="str">
        <f t="shared" ca="1" si="3"/>
        <v>Vollständig</v>
      </c>
      <c r="D21" s="113" t="str">
        <f>IF(H21=1,"Click here to answer question 2 for Tin","")</f>
        <v/>
      </c>
      <c r="E21" s="87" t="s">
        <v>918</v>
      </c>
      <c r="F21" s="110">
        <f>IF(B$16="No",0,1)</f>
        <v>0</v>
      </c>
      <c r="G21" s="84">
        <f t="shared" si="4"/>
        <v>1</v>
      </c>
      <c r="H21" s="85">
        <f t="shared" si="2"/>
        <v>0</v>
      </c>
      <c r="I21" s="181" t="str">
        <f ca="1">OFFSET(L!$C$1,MATCH("Checker"&amp;"Comp",L!$A:$A,0)-1,SL,,)</f>
        <v>Vollständig</v>
      </c>
      <c r="J21" s="182" t="str">
        <f ca="1">OFFSET(L!$C$1,MATCH("Checker"&amp;ADDRESS(ROW(),COLUMN(),4),L!$A:$A,0)-1,SL,,)</f>
        <v>Erklären Sie in der Reiterzelle D33 der Erklärung, ob Zinn für die Herstellung Ihrer Produkte erforderlich ist und ob es in den angegebenen Endprodukten enthalten ist</v>
      </c>
    </row>
    <row r="22" spans="1:10" ht="39">
      <c r="A22" s="106" t="str">
        <f ca="1">Declaration!B34</f>
        <v xml:space="preserve">Gold  </v>
      </c>
      <c r="B22" s="105">
        <f>IF($B$17="Yes",Declaration!D34,0)</f>
        <v>0</v>
      </c>
      <c r="C22" s="105" t="str">
        <f t="shared" ca="1" si="3"/>
        <v>Vollständig</v>
      </c>
      <c r="D22" s="113" t="str">
        <f>IF(H22=1,"Click here to answer question 2 for Gold","")</f>
        <v/>
      </c>
      <c r="E22" s="87" t="s">
        <v>918</v>
      </c>
      <c r="F22" s="110">
        <f>IF(B$17="No",0,1)</f>
        <v>0</v>
      </c>
      <c r="G22" s="84">
        <f t="shared" si="4"/>
        <v>1</v>
      </c>
      <c r="H22" s="85">
        <f t="shared" si="2"/>
        <v>0</v>
      </c>
      <c r="I22" s="181" t="str">
        <f ca="1">OFFSET(L!$C$1,MATCH("Checker"&amp;"Comp",L!$A:$A,0)-1,SL,,)</f>
        <v>Vollständig</v>
      </c>
      <c r="J22" s="182" t="str">
        <f ca="1">OFFSET(L!$C$1,MATCH("Checker"&amp;ADDRESS(ROW(),COLUMN(),4),L!$A:$A,0)-1,SL,,)</f>
        <v>Erklären Sie in der Reiterzelle D34 der Erklärung, ob Gold für die Herstellung Ihrer Produkte erforderlich ist und ob es in den angegebenen Endprodukten enthalten ist</v>
      </c>
    </row>
    <row r="23" spans="1:10" ht="39">
      <c r="A23" s="106" t="str">
        <f ca="1">Declaration!B35</f>
        <v xml:space="preserve">Wolfram  </v>
      </c>
      <c r="B23" s="105">
        <f>IF($B$18="Yes",Declaration!D35,0)</f>
        <v>0</v>
      </c>
      <c r="C23" s="105" t="str">
        <f t="shared" ca="1" si="3"/>
        <v>Vollständig</v>
      </c>
      <c r="D23" s="113" t="str">
        <f>IF(H23=1,"Click here to answer question 2 for Tungsten","")</f>
        <v/>
      </c>
      <c r="E23" s="87" t="s">
        <v>918</v>
      </c>
      <c r="F23" s="110">
        <f>IF(B$18="No",0,1)</f>
        <v>0</v>
      </c>
      <c r="G23" s="84">
        <f t="shared" si="4"/>
        <v>1</v>
      </c>
      <c r="H23" s="85">
        <f t="shared" si="2"/>
        <v>0</v>
      </c>
      <c r="I23" s="181" t="str">
        <f ca="1">OFFSET(L!$C$1,MATCH("Checker"&amp;"Comp",L!$A:$A,0)-1,SL,,)</f>
        <v>Vollständig</v>
      </c>
      <c r="J23" s="182" t="str">
        <f ca="1">OFFSET(L!$C$1,MATCH("Checker"&amp;ADDRESS(ROW(),COLUMN(),4),L!$A:$A,0)-1,SL,,)</f>
        <v>Erklären Sie in der Reiterzelle D35 der Erklärung, ob Tungsten für die Herstellung Ihrer Produkte erforderlich ist und ob es in den angegebenen Endprodukten enthalten ist</v>
      </c>
    </row>
    <row r="24" spans="1:10" ht="57.75" customHeight="1">
      <c r="A24" s="105" t="str">
        <f ca="1">Declaration!B37</f>
        <v>3) Beschaffen Schmelzöfen in Ihrer Lieferkette das 3TG-Mineral aus den umfassten Ländern? (SEC-Begriff, siehe Definitions-Tab)</v>
      </c>
      <c r="B24" s="108"/>
      <c r="C24" s="108"/>
      <c r="D24" s="112"/>
      <c r="E24" s="87" t="s">
        <v>918</v>
      </c>
      <c r="F24" s="109"/>
      <c r="G24" s="24"/>
      <c r="H24" s="24"/>
      <c r="J24" s="182"/>
    </row>
    <row r="25" spans="1:10" ht="39">
      <c r="A25" s="106" t="str">
        <f ca="1">Declaration!B38</f>
        <v xml:space="preserve">Tantal  </v>
      </c>
      <c r="B25" s="105">
        <f>IF(AND($B$15="Yes",$B$20="Yes"),Declaration!D38,0)</f>
        <v>0</v>
      </c>
      <c r="C25" s="105" t="str">
        <f t="shared" ca="1" si="3"/>
        <v>Vollständig</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Vollständig</v>
      </c>
      <c r="J25"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6" spans="1:10" ht="39">
      <c r="A26" s="106" t="str">
        <f ca="1">Declaration!B39</f>
        <v xml:space="preserve">Zinn  </v>
      </c>
      <c r="B26" s="105">
        <f>IF(AND($B$16="Yes",$B$21="Yes"),Declaration!D39,0)</f>
        <v>0</v>
      </c>
      <c r="C26" s="105" t="str">
        <f t="shared" ca="1" si="3"/>
        <v>Vollständig</v>
      </c>
      <c r="D26" s="113" t="str">
        <f>IF(H26=1,"Click here to answer question 3 for Tin","")</f>
        <v/>
      </c>
      <c r="E26" s="87" t="s">
        <v>918</v>
      </c>
      <c r="F26" s="110">
        <f>IF(OR(B16="No",B21="No"),0,1)</f>
        <v>0</v>
      </c>
      <c r="G26" s="84">
        <f t="shared" si="5"/>
        <v>1</v>
      </c>
      <c r="H26" s="85">
        <f t="shared" si="6"/>
        <v>0</v>
      </c>
      <c r="I26" s="181" t="str">
        <f ca="1">OFFSET(L!$C$1,MATCH("Checker"&amp;"Comp",L!$A:$A,0)-1,SL,,)</f>
        <v>Vollständig</v>
      </c>
      <c r="J26"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7" spans="1:10" ht="39">
      <c r="A27" s="106" t="str">
        <f ca="1">Declaration!B40</f>
        <v xml:space="preserve">Gold  </v>
      </c>
      <c r="B27" s="105">
        <f>IF(AND($B$17="Yes",$B$22="Yes"),Declaration!D40,0)</f>
        <v>0</v>
      </c>
      <c r="C27" s="105" t="str">
        <f t="shared" ca="1" si="3"/>
        <v>Vollständig</v>
      </c>
      <c r="D27" s="113" t="str">
        <f>IF(H27=1,"Click here to answer question 3 for Gold","")</f>
        <v/>
      </c>
      <c r="E27" s="87" t="s">
        <v>918</v>
      </c>
      <c r="F27" s="110">
        <f>IF(OR(B17="No",B22="No"),0,1)</f>
        <v>0</v>
      </c>
      <c r="G27" s="84">
        <f t="shared" si="5"/>
        <v>1</v>
      </c>
      <c r="H27" s="85">
        <f t="shared" si="6"/>
        <v>0</v>
      </c>
      <c r="I27" s="181" t="str">
        <f ca="1">OFFSET(L!$C$1,MATCH("Checker"&amp;"Comp",L!$A:$A,0)-1,SL,,)</f>
        <v>Vollständig</v>
      </c>
      <c r="J27"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8" spans="1:10" ht="39">
      <c r="A28" s="106" t="str">
        <f ca="1">Declaration!B41</f>
        <v xml:space="preserve">Wolfram  </v>
      </c>
      <c r="B28" s="105">
        <f>IF(AND($B$18="Yes",$B$23="Yes"),Declaration!D41,0)</f>
        <v>0</v>
      </c>
      <c r="C28" s="105" t="str">
        <f t="shared" ca="1" si="3"/>
        <v>Vollständig</v>
      </c>
      <c r="D28" s="113" t="str">
        <f>IF(H28=1,"Click here to answer question 3 for Tungsten","")</f>
        <v/>
      </c>
      <c r="E28" s="87" t="s">
        <v>918</v>
      </c>
      <c r="F28" s="110">
        <f>IF(OR(B18="No",B23="No"),0,1)</f>
        <v>0</v>
      </c>
      <c r="G28" s="84">
        <f t="shared" si="5"/>
        <v>1</v>
      </c>
      <c r="H28" s="85">
        <f t="shared" si="6"/>
        <v>0</v>
      </c>
      <c r="I28" s="181" t="str">
        <f ca="1">OFFSET(L!$C$1,MATCH("Checker"&amp;"Comp",L!$A:$A,0)-1,SL,,)</f>
        <v>Vollständig</v>
      </c>
      <c r="J28"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9" spans="1:10" ht="38.25">
      <c r="A29" s="105" t="str">
        <f ca="1">Declaration!B43</f>
        <v xml:space="preserve">4) Stammt das für die Funktionalität oder  Herstellung Ihrer Produkte benötigte 3TG-Mineral zu 100 % aus Recycling- oder Schrottquellen? </v>
      </c>
      <c r="B29" s="108"/>
      <c r="C29" s="108"/>
      <c r="D29" s="112"/>
      <c r="E29" s="87" t="s">
        <v>1437</v>
      </c>
      <c r="F29" s="109"/>
      <c r="G29" s="24"/>
      <c r="H29" s="24"/>
      <c r="J29" s="182"/>
    </row>
    <row r="30" spans="1:10" ht="51">
      <c r="A30" s="106" t="str">
        <f ca="1">Declaration!B44</f>
        <v xml:space="preserve">Tantal  </v>
      </c>
      <c r="B30" s="105">
        <f>IF(AND($B$15="Yes",$B$20="Yes"),Declaration!D44,0)</f>
        <v>0</v>
      </c>
      <c r="C30" s="105" t="str">
        <f ca="1">IF(H30=1,J30,I30)</f>
        <v>Vollständig</v>
      </c>
      <c r="D30" s="113" t="str">
        <f>IF(H30=1,"Click here to answer question 4 for Tantalum","")</f>
        <v/>
      </c>
      <c r="E30" s="87" t="s">
        <v>1437</v>
      </c>
      <c r="F30" s="110">
        <f>F25</f>
        <v>0</v>
      </c>
      <c r="G30" s="84">
        <f>IF(B30=0,1,0)</f>
        <v>1</v>
      </c>
      <c r="H30" s="85">
        <f>F30*G30</f>
        <v>0</v>
      </c>
      <c r="I30" s="181" t="str">
        <f ca="1">OFFSET(L!$C$1,MATCH("Checker"&amp;"Comp",L!$A:$A,0)-1,SL,,)</f>
        <v>Vollständig</v>
      </c>
      <c r="J30" s="182" t="str">
        <f ca="1">OFFSET(L!$C$1,MATCH("Checker"&amp;ADDRESS(ROW(),COLUMN(),4),L!$A:$A,0)-1,SL,,)</f>
        <v>Erklären Sie in der Reiterzelle D44 der Erklärung, ob innerhalb des Umfangs der in dieser Umfrage angegebenen Produkte verwendetes Tantalum vollständig aus Recycling oder Schrott stammt</v>
      </c>
    </row>
    <row r="31" spans="1:10" ht="39">
      <c r="A31" s="106" t="str">
        <f ca="1">Declaration!B45</f>
        <v xml:space="preserve">Zinn  </v>
      </c>
      <c r="B31" s="105">
        <f>IF(AND($B$16="Yes",$B$21="Yes"),Declaration!D45,0)</f>
        <v>0</v>
      </c>
      <c r="C31" s="105" t="str">
        <f ca="1">IF(H31=1,J31,I31)</f>
        <v>Vollständig</v>
      </c>
      <c r="D31" s="113" t="str">
        <f>IF(H31=1,"Click here to answer question 4 for Tin","")</f>
        <v/>
      </c>
      <c r="E31" s="87" t="s">
        <v>1437</v>
      </c>
      <c r="F31" s="110">
        <f>F26</f>
        <v>0</v>
      </c>
      <c r="G31" s="84">
        <f>IF(B31=0,1,0)</f>
        <v>1</v>
      </c>
      <c r="H31" s="85">
        <f>F31*G31</f>
        <v>0</v>
      </c>
      <c r="I31" s="181" t="str">
        <f ca="1">OFFSET(L!$C$1,MATCH("Checker"&amp;"Comp",L!$A:$A,0)-1,SL,,)</f>
        <v>Vollständig</v>
      </c>
      <c r="J31" s="182" t="str">
        <f ca="1">OFFSET(L!$C$1,MATCH("Checker"&amp;ADDRESS(ROW(),COLUMN(),4),L!$A:$A,0)-1,SL,,)</f>
        <v>Erklären Sie in der Reiterzelle D45 der Erklärung, ob innerhalb des Umfangs der in dieser Umfrage angegebenen Produkte verwendetes Zinn vollständig aus Recycling oder Schrott stammt</v>
      </c>
    </row>
    <row r="32" spans="1:10" ht="39">
      <c r="A32" s="106" t="str">
        <f ca="1">Declaration!B46</f>
        <v xml:space="preserve">Gold  </v>
      </c>
      <c r="B32" s="105">
        <f>IF(AND($B$17="Yes",$B$22="Yes"),Declaration!D46,0)</f>
        <v>0</v>
      </c>
      <c r="C32" s="105" t="str">
        <f ca="1">IF(H32=1,J32,I32)</f>
        <v>Vollständig</v>
      </c>
      <c r="D32" s="113" t="str">
        <f>IF(H32=1,"Click here to answer question 4 for Gold","")</f>
        <v/>
      </c>
      <c r="E32" s="87" t="s">
        <v>1437</v>
      </c>
      <c r="F32" s="110">
        <f>F27</f>
        <v>0</v>
      </c>
      <c r="G32" s="84">
        <f>IF(B32=0,1,0)</f>
        <v>1</v>
      </c>
      <c r="H32" s="85">
        <f>F32*G32</f>
        <v>0</v>
      </c>
      <c r="I32" s="181" t="str">
        <f ca="1">OFFSET(L!$C$1,MATCH("Checker"&amp;"Comp",L!$A:$A,0)-1,SL,,)</f>
        <v>Vollständig</v>
      </c>
      <c r="J32" s="182" t="str">
        <f ca="1">OFFSET(L!$C$1,MATCH("Checker"&amp;ADDRESS(ROW(),COLUMN(),4),L!$A:$A,0)-1,SL,,)</f>
        <v>Erklären Sie in der Reiterzelle D46 der Erklärung, ob innerhalb des Umfangs der in dieser Umfrage angegebenen Produkte verwendetes Gold vollständig aus Recycling oder Schrott stammt</v>
      </c>
    </row>
    <row r="33" spans="1:10" ht="51">
      <c r="A33" s="106" t="str">
        <f ca="1">Declaration!B47</f>
        <v xml:space="preserve">Wolfram  </v>
      </c>
      <c r="B33" s="105">
        <f>IF(AND($B$18="Yes",$B$23="Yes"),Declaration!D47,0)</f>
        <v>0</v>
      </c>
      <c r="C33" s="105" t="str">
        <f ca="1">IF(H33=1,J33,I33)</f>
        <v>Vollständig</v>
      </c>
      <c r="D33" s="113" t="str">
        <f>IF(H33=1,"Click here to answer question 4 for Tungsten","")</f>
        <v/>
      </c>
      <c r="E33" s="87" t="s">
        <v>1437</v>
      </c>
      <c r="F33" s="110">
        <f>F28</f>
        <v>0</v>
      </c>
      <c r="G33" s="84">
        <f>IF(B33=0,1,0)</f>
        <v>1</v>
      </c>
      <c r="H33" s="85">
        <f>F33*G33</f>
        <v>0</v>
      </c>
      <c r="I33" s="181" t="str">
        <f ca="1">OFFSET(L!$C$1,MATCH("Checker"&amp;"Comp",L!$A:$A,0)-1,SL,,)</f>
        <v>Vollständig</v>
      </c>
      <c r="J33" s="182" t="str">
        <f ca="1">OFFSET(L!$C$1,MATCH("Checker"&amp;ADDRESS(ROW(),COLUMN(),4),L!$A:$A,0)-1,SL,,)</f>
        <v>Erklären Sie in der Reiterzelle D47 der Erklärung, ob innerhalb des Umfangs der in dieser Umfrage angegebenen Produkte verwendetes Tungsten vollständig aus Recycling oder Schrott stammt</v>
      </c>
    </row>
    <row r="34" spans="1:10" ht="38.25">
      <c r="A34" s="105" t="str">
        <f ca="1">Declaration!B49</f>
        <v>5) Wie hoch ist der Prozentsatz an Lieferanten, die auf Ihre Lieferkettenumfrage geantwortet haben?</v>
      </c>
      <c r="B34" s="108"/>
      <c r="C34" s="108"/>
      <c r="D34" s="112"/>
      <c r="E34" s="87" t="s">
        <v>918</v>
      </c>
      <c r="F34" s="109"/>
      <c r="G34" s="24"/>
      <c r="H34" s="24"/>
    </row>
    <row r="35" spans="1:10" ht="26.25">
      <c r="A35" s="106" t="str">
        <f ca="1">Declaration!B50</f>
        <v xml:space="preserve">Tantal  </v>
      </c>
      <c r="B35" s="105">
        <f>IF(AND($B$15="Yes",$B$20="Yes"),Declaration!D50,0)</f>
        <v>0</v>
      </c>
      <c r="C35" s="105" t="str">
        <f t="shared" ca="1" si="3"/>
        <v>Vollständig</v>
      </c>
      <c r="D35" s="111" t="str">
        <f>IF(H35=1,"Click here to answer question 5 for Tantalum","")</f>
        <v/>
      </c>
      <c r="E35" s="87" t="s">
        <v>917</v>
      </c>
      <c r="F35" s="110">
        <f>F25</f>
        <v>0</v>
      </c>
      <c r="G35" s="84">
        <f t="shared" si="5"/>
        <v>1</v>
      </c>
      <c r="H35" s="85">
        <f t="shared" si="6"/>
        <v>0</v>
      </c>
      <c r="I35" s="181" t="str">
        <f ca="1">OFFSET(L!$C$1,MATCH("Checker"&amp;"Comp",L!$A:$A,0)-1,SL,,)</f>
        <v>Vollständig</v>
      </c>
      <c r="J35" s="22" t="str">
        <f ca="1">OFFSET(L!$C$1,MATCH("Checker"&amp;ADDRESS(ROW(),COLUMN(),4),L!$A:$A,0)-1,SL,,)</f>
        <v>Geben Sie den Vollständigkeitsgrad der Schmelzofeninformationen des Anbieters in Prozent in der Reiterzelle D50 der Erklärung an</v>
      </c>
    </row>
    <row r="36" spans="1:10" ht="26.25">
      <c r="A36" s="106" t="str">
        <f ca="1">Declaration!B51</f>
        <v xml:space="preserve">Zinn  </v>
      </c>
      <c r="B36" s="105">
        <f>IF(AND($B$16="Yes",$B$21="Yes"),Declaration!D51,0)</f>
        <v>0</v>
      </c>
      <c r="C36" s="105" t="str">
        <f ca="1">IF(H36=1,J36,I36)</f>
        <v>Vollständig</v>
      </c>
      <c r="D36" s="111" t="str">
        <f>IF(H36=1,"Click here to answer question 5 for Tin","")</f>
        <v/>
      </c>
      <c r="E36" s="87" t="s">
        <v>917</v>
      </c>
      <c r="F36" s="110">
        <f>F26</f>
        <v>0</v>
      </c>
      <c r="G36" s="84">
        <f t="shared" si="5"/>
        <v>1</v>
      </c>
      <c r="H36" s="85">
        <f t="shared" si="6"/>
        <v>0</v>
      </c>
      <c r="I36" s="181" t="str">
        <f ca="1">OFFSET(L!$C$1,MATCH("Checker"&amp;"Comp",L!$A:$A,0)-1,SL,,)</f>
        <v>Vollständig</v>
      </c>
      <c r="J36" s="22" t="str">
        <f ca="1">OFFSET(L!$C$1,MATCH("Checker"&amp;ADDRESS(ROW(),COLUMN(),4),L!$A:$A,0)-1,SL,,)</f>
        <v>Geben Sie den Vollständigkeitsgrad der Schmelzofeninformationen des Anbieters in Prozent in der Reiterzelle D51 der Erklärung an</v>
      </c>
    </row>
    <row r="37" spans="1:10" ht="26.25">
      <c r="A37" s="106" t="str">
        <f ca="1">Declaration!B52</f>
        <v xml:space="preserve">Gold  </v>
      </c>
      <c r="B37" s="105">
        <f>IF(AND($B$17="Yes",$B$22="Yes"),Declaration!D52,0)</f>
        <v>0</v>
      </c>
      <c r="C37" s="105" t="str">
        <f t="shared" ca="1" si="3"/>
        <v>Vollständig</v>
      </c>
      <c r="D37" s="111" t="str">
        <f>IF(H37=1,"Click here to answer question 5 for Gold","")</f>
        <v/>
      </c>
      <c r="E37" s="87" t="s">
        <v>917</v>
      </c>
      <c r="F37" s="110">
        <f>F27</f>
        <v>0</v>
      </c>
      <c r="G37" s="84">
        <f t="shared" si="5"/>
        <v>1</v>
      </c>
      <c r="H37" s="85">
        <f t="shared" si="6"/>
        <v>0</v>
      </c>
      <c r="I37" s="181" t="str">
        <f ca="1">OFFSET(L!$C$1,MATCH("Checker"&amp;"Comp",L!$A:$A,0)-1,SL,,)</f>
        <v>Vollständig</v>
      </c>
      <c r="J37" s="22" t="str">
        <f ca="1">OFFSET(L!$C$1,MATCH("Checker"&amp;ADDRESS(ROW(),COLUMN(),4),L!$A:$A,0)-1,SL,,)</f>
        <v>Geben Sie den Vollständigkeitsgrad der Schmelzofeninformationen des Anbieters in Prozent in der Reiterzelle D52 der Erklärung an</v>
      </c>
    </row>
    <row r="38" spans="1:10" ht="26.25">
      <c r="A38" s="106" t="str">
        <f ca="1">Declaration!B53</f>
        <v xml:space="preserve">Wolfram  </v>
      </c>
      <c r="B38" s="105">
        <f>IF(AND($B$18="Yes",$B$23="Yes"),Declaration!D53,0)</f>
        <v>0</v>
      </c>
      <c r="C38" s="105" t="str">
        <f t="shared" ca="1" si="3"/>
        <v>Vollständig</v>
      </c>
      <c r="D38" s="111" t="str">
        <f>IF(H38=1,"Click here to answer question 5 for Tungsten","")</f>
        <v/>
      </c>
      <c r="E38" s="87" t="s">
        <v>917</v>
      </c>
      <c r="F38" s="110">
        <f>F28</f>
        <v>0</v>
      </c>
      <c r="G38" s="84">
        <f t="shared" si="5"/>
        <v>1</v>
      </c>
      <c r="H38" s="85">
        <f t="shared" si="6"/>
        <v>0</v>
      </c>
      <c r="I38" s="181" t="str">
        <f ca="1">OFFSET(L!$C$1,MATCH("Checker"&amp;"Comp",L!$A:$A,0)-1,SL,,)</f>
        <v>Vollständig</v>
      </c>
      <c r="J38" s="22" t="str">
        <f ca="1">OFFSET(L!$C$1,MATCH("Checker"&amp;ADDRESS(ROW(),COLUMN(),4),L!$A:$A,0)-1,SL,,)</f>
        <v>Geben Sie den Vollständigkeitsgrad der Schmelzofeninformationen des Anbieters in Prozent in der Reiterzelle D53 der Erklärung an</v>
      </c>
    </row>
    <row r="39" spans="1:10" ht="51">
      <c r="A39" s="105" t="str">
        <f ca="1">Declaration!B55</f>
        <v xml:space="preserve">6) Haben Sie alle Schmelzhütten ermittelt, die das 3TG-Mineral für Ihre Lieferkette bereitstellen? </v>
      </c>
      <c r="B39" s="108"/>
      <c r="C39" s="108"/>
      <c r="D39" s="112"/>
      <c r="E39" s="87" t="s">
        <v>919</v>
      </c>
      <c r="F39" s="109"/>
      <c r="G39" s="24"/>
      <c r="H39" s="24"/>
    </row>
    <row r="40" spans="1:10" ht="51.75">
      <c r="A40" s="106" t="str">
        <f ca="1">Declaration!B56</f>
        <v xml:space="preserve">Tantal  </v>
      </c>
      <c r="B40" s="105">
        <f>IF(AND($B$15="Yes",$B$20="Yes"),Declaration!D56,0)</f>
        <v>0</v>
      </c>
      <c r="C40" s="105" t="str">
        <f t="shared" ca="1" si="3"/>
        <v>Vollständig</v>
      </c>
      <c r="D40" s="113" t="str">
        <f>IF(H40=1,"Click here to answer question 6 for Tantalum","")</f>
        <v/>
      </c>
      <c r="E40" s="87" t="s">
        <v>1433</v>
      </c>
      <c r="F40" s="110">
        <f>F25</f>
        <v>0</v>
      </c>
      <c r="G40" s="84">
        <f t="shared" si="5"/>
        <v>1</v>
      </c>
      <c r="H40" s="85">
        <f t="shared" si="6"/>
        <v>0</v>
      </c>
      <c r="I40" s="181" t="str">
        <f ca="1">OFFSET(L!$C$1,MATCH("Checker"&amp;"Comp",L!$A:$A,0)-1,SL,,)</f>
        <v>Vollständig</v>
      </c>
      <c r="J40" s="22" t="str">
        <f ca="1">OFFSET(L!$C$1,MATCH("Checker"&amp;ADDRESS(ROW(),COLUMN(),4),L!$A:$A,0)-1,SL,,)</f>
        <v xml:space="preserve">Geben Sie in der Reiterzelle D56 der Erklärung an, ob alle Schmelzofennamen in der Antwort auf diese Umfrage im Umfang der angegebenen Produkte zur Verfügung gestellt worden sind </v>
      </c>
    </row>
    <row r="41" spans="1:10" ht="51.75">
      <c r="A41" s="106" t="str">
        <f ca="1">Declaration!B57</f>
        <v xml:space="preserve">Zinn  </v>
      </c>
      <c r="B41" s="105">
        <f>IF(AND($B$16="Yes",$B$21="Yes"),Declaration!D57,0)</f>
        <v>0</v>
      </c>
      <c r="C41" s="105" t="str">
        <f t="shared" ca="1" si="3"/>
        <v>Vollständig</v>
      </c>
      <c r="D41" s="113" t="str">
        <f>IF(H41=1,"Click here to answer question 6 for Tin","")</f>
        <v/>
      </c>
      <c r="E41" s="87" t="s">
        <v>1433</v>
      </c>
      <c r="F41" s="110">
        <f>F26</f>
        <v>0</v>
      </c>
      <c r="G41" s="84">
        <f t="shared" si="5"/>
        <v>1</v>
      </c>
      <c r="H41" s="85">
        <f t="shared" si="6"/>
        <v>0</v>
      </c>
      <c r="I41" s="181" t="str">
        <f ca="1">OFFSET(L!$C$1,MATCH("Checker"&amp;"Comp",L!$A:$A,0)-1,SL,,)</f>
        <v>Vollständig</v>
      </c>
      <c r="J41" s="22" t="str">
        <f ca="1">OFFSET(L!$C$1,MATCH("Checker"&amp;ADDRESS(ROW(),COLUMN(),4),L!$A:$A,0)-1,SL,,)</f>
        <v xml:space="preserve">Geben Sie in der Reiterzelle D57 der Erklärung an, ob alle Schmelzofennamen in der Antwort auf diese Umfrage im Umfang der angegebenen Produkte zur Verfügung gestellt worden sind </v>
      </c>
    </row>
    <row r="42" spans="1:10" ht="51.75">
      <c r="A42" s="106" t="str">
        <f ca="1">Declaration!B58</f>
        <v xml:space="preserve">Gold  </v>
      </c>
      <c r="B42" s="105">
        <f>IF(AND($B$17="Yes",$B$22="Yes"),Declaration!D58,0)</f>
        <v>0</v>
      </c>
      <c r="C42" s="105" t="str">
        <f t="shared" ca="1" si="3"/>
        <v>Vollständig</v>
      </c>
      <c r="D42" s="113" t="str">
        <f>IF(H42=1,"Click here to answer question 6 for Gold","")</f>
        <v/>
      </c>
      <c r="E42" s="87" t="s">
        <v>1433</v>
      </c>
      <c r="F42" s="110">
        <f>F27</f>
        <v>0</v>
      </c>
      <c r="G42" s="84">
        <f t="shared" si="5"/>
        <v>1</v>
      </c>
      <c r="H42" s="85">
        <f t="shared" si="6"/>
        <v>0</v>
      </c>
      <c r="I42" s="181" t="str">
        <f ca="1">OFFSET(L!$C$1,MATCH("Checker"&amp;"Comp",L!$A:$A,0)-1,SL,,)</f>
        <v>Vollständig</v>
      </c>
      <c r="J42" s="22" t="str">
        <f ca="1">OFFSET(L!$C$1,MATCH("Checker"&amp;ADDRESS(ROW(),COLUMN(),4),L!$A:$A,0)-1,SL,,)</f>
        <v xml:space="preserve">Geben Sie in der Reiterzelle D58 der Erklärung an, ob alle Schmelzofennamen in der Antwort auf diese Umfrage im Umfang der angegebenen Produkte zur Verfügung gestellt worden sind </v>
      </c>
    </row>
    <row r="43" spans="1:10" ht="51.75">
      <c r="A43" s="106" t="str">
        <f ca="1">Declaration!B59</f>
        <v xml:space="preserve">Wolfram  </v>
      </c>
      <c r="B43" s="105">
        <f>IF(AND($B$18="Yes",$B$23="Yes"),Declaration!D59,0)</f>
        <v>0</v>
      </c>
      <c r="C43" s="105" t="str">
        <f t="shared" ca="1" si="3"/>
        <v>Vollständig</v>
      </c>
      <c r="D43" s="113" t="str">
        <f>IF(H43=1,"Click here to answer question 6 for Tungsten","")</f>
        <v/>
      </c>
      <c r="E43" s="87" t="s">
        <v>1433</v>
      </c>
      <c r="F43" s="110">
        <f>F28</f>
        <v>0</v>
      </c>
      <c r="G43" s="84">
        <f t="shared" si="5"/>
        <v>1</v>
      </c>
      <c r="H43" s="85">
        <f t="shared" si="6"/>
        <v>0</v>
      </c>
      <c r="I43" s="181" t="str">
        <f ca="1">OFFSET(L!$C$1,MATCH("Checker"&amp;"Comp",L!$A:$A,0)-1,SL,,)</f>
        <v>Vollständig</v>
      </c>
      <c r="J43" s="22" t="str">
        <f ca="1">OFFSET(L!$C$1,MATCH("Checker"&amp;ADDRESS(ROW(),COLUMN(),4),L!$A:$A,0)-1,SL,,)</f>
        <v xml:space="preserve">Geben Sie in der Reiterzelle D59 der Erklärung an, ob alle Schmelzofennamen in der Antwort auf diese Umfrage im Umfang der angegebenen Produkte zur Verfügung gestellt worden sind </v>
      </c>
    </row>
    <row r="44" spans="1:10" ht="63.75">
      <c r="A44" s="105" t="str">
        <f ca="1">Declaration!B61</f>
        <v xml:space="preserve">7) Haben Sie alle relevanten Informationen, die Ihr Unternehmen zu den Schmelzhütten erhalten hat, in dieser Erklärung aufgeführt? </v>
      </c>
      <c r="B44" s="108"/>
      <c r="C44" s="108"/>
      <c r="D44" s="112"/>
      <c r="E44" s="87" t="s">
        <v>920</v>
      </c>
      <c r="F44" s="109"/>
      <c r="G44" s="24"/>
      <c r="H44" s="24"/>
    </row>
    <row r="45" spans="1:10" ht="39">
      <c r="A45" s="106" t="str">
        <f ca="1">Declaration!B62</f>
        <v xml:space="preserve">Tantal  </v>
      </c>
      <c r="B45" s="105">
        <f>IF(AND($B$15="Yes",$B$20="Yes"),Declaration!D62,0)</f>
        <v>0</v>
      </c>
      <c r="C45" s="105" t="str">
        <f t="shared" ca="1" si="3"/>
        <v>Vollständig</v>
      </c>
      <c r="D45" s="114" t="str">
        <f>IF(H45=1,"Click here to answer question 7 for Tantalum","")</f>
        <v/>
      </c>
      <c r="E45" s="87" t="s">
        <v>918</v>
      </c>
      <c r="F45" s="110">
        <f>F25</f>
        <v>0</v>
      </c>
      <c r="G45" s="84">
        <f t="shared" si="5"/>
        <v>1</v>
      </c>
      <c r="H45" s="85">
        <f t="shared" si="6"/>
        <v>0</v>
      </c>
      <c r="I45" s="181" t="str">
        <f ca="1">OFFSET(L!$C$1,MATCH("Checker"&amp;"Comp",L!$A:$A,0)-1,SL,,)</f>
        <v>Vollständig</v>
      </c>
      <c r="J45" s="22" t="str">
        <f ca="1">OFFSET(L!$C$1,MATCH("Checker"&amp;ADDRESS(ROW(),COLUMN(),4),L!$A:$A,0)-1,SL,,)</f>
        <v xml:space="preserve">Geben Sie in der Reiterzelle D62 der Erklärung an, ob alle Informationen über Tantalum-Schmelzöfen zur Verfügung gestellt worden sind </v>
      </c>
    </row>
    <row r="46" spans="1:10" ht="39">
      <c r="A46" s="106" t="str">
        <f ca="1">Declaration!B63</f>
        <v xml:space="preserve">Zinn  </v>
      </c>
      <c r="B46" s="105">
        <f>IF(AND($B$16="Yes",$B$21="Yes"),Declaration!D63,0)</f>
        <v>0</v>
      </c>
      <c r="C46" s="105" t="str">
        <f t="shared" ca="1" si="3"/>
        <v>Vollständig</v>
      </c>
      <c r="D46" s="114" t="str">
        <f>IF(H46=1,"Click here to answer question 7 for Tin","")</f>
        <v/>
      </c>
      <c r="E46" s="87" t="s">
        <v>918</v>
      </c>
      <c r="F46" s="110">
        <f>F26</f>
        <v>0</v>
      </c>
      <c r="G46" s="84">
        <f t="shared" si="5"/>
        <v>1</v>
      </c>
      <c r="H46" s="85">
        <f t="shared" si="6"/>
        <v>0</v>
      </c>
      <c r="I46" s="181" t="str">
        <f ca="1">OFFSET(L!$C$1,MATCH("Checker"&amp;"Comp",L!$A:$A,0)-1,SL,,)</f>
        <v>Vollständig</v>
      </c>
      <c r="J46" s="22" t="str">
        <f ca="1">OFFSET(L!$C$1,MATCH("Checker"&amp;ADDRESS(ROW(),COLUMN(),4),L!$A:$A,0)-1,SL,,)</f>
        <v xml:space="preserve">Geben Sie in der Reiterzelle D63 der Erklärung an, ob alle Informationen über Zinn-Schmelzöfen zur Verfügung gestellt worden sind </v>
      </c>
    </row>
    <row r="47" spans="1:10" ht="39">
      <c r="A47" s="106" t="str">
        <f ca="1">Declaration!B64</f>
        <v xml:space="preserve">Gold  </v>
      </c>
      <c r="B47" s="105">
        <f>IF(AND($B$17="Yes",$B$22="Yes"),Declaration!D64,0)</f>
        <v>0</v>
      </c>
      <c r="C47" s="105" t="str">
        <f t="shared" ca="1" si="3"/>
        <v>Vollständig</v>
      </c>
      <c r="D47" s="114" t="str">
        <f>IF(H47=1,"Click here to answer question 7 for Gold","")</f>
        <v/>
      </c>
      <c r="E47" s="87" t="s">
        <v>918</v>
      </c>
      <c r="F47" s="110">
        <f>F27</f>
        <v>0</v>
      </c>
      <c r="G47" s="84">
        <f t="shared" si="5"/>
        <v>1</v>
      </c>
      <c r="H47" s="85">
        <f t="shared" si="6"/>
        <v>0</v>
      </c>
      <c r="I47" s="181" t="str">
        <f ca="1">OFFSET(L!$C$1,MATCH("Checker"&amp;"Comp",L!$A:$A,0)-1,SL,,)</f>
        <v>Vollständig</v>
      </c>
      <c r="J47" s="22" t="str">
        <f ca="1">OFFSET(L!$C$1,MATCH("Checker"&amp;ADDRESS(ROW(),COLUMN(),4),L!$A:$A,0)-1,SL,,)</f>
        <v xml:space="preserve">Geben Sie in der Reiterzelle D64 der Erklärung an, ob alle Informationen über Gold-Schmelzöfen zur Verfügung gestellt worden sind </v>
      </c>
    </row>
    <row r="48" spans="1:10" ht="39">
      <c r="A48" s="106" t="str">
        <f ca="1">Declaration!B65</f>
        <v xml:space="preserve">Wolfram  </v>
      </c>
      <c r="B48" s="105">
        <f>IF(AND($B$18="Yes",$B$23="Yes"),Declaration!D65,0)</f>
        <v>0</v>
      </c>
      <c r="C48" s="105" t="str">
        <f t="shared" ca="1" si="3"/>
        <v>Vollständig</v>
      </c>
      <c r="D48" s="114" t="str">
        <f>IF(H48=1,"Click here to answer question 7 for Tungsten","")</f>
        <v/>
      </c>
      <c r="E48" s="87" t="s">
        <v>918</v>
      </c>
      <c r="F48" s="110">
        <f>F28</f>
        <v>0</v>
      </c>
      <c r="G48" s="84">
        <f t="shared" si="5"/>
        <v>1</v>
      </c>
      <c r="H48" s="85">
        <f t="shared" si="6"/>
        <v>0</v>
      </c>
      <c r="I48" s="181" t="str">
        <f ca="1">OFFSET(L!$C$1,MATCH("Checker"&amp;"Comp",L!$A:$A,0)-1,SL,,)</f>
        <v>Vollständig</v>
      </c>
      <c r="J48" s="22" t="str">
        <f ca="1">OFFSET(L!$C$1,MATCH("Checker"&amp;ADDRESS(ROW(),COLUMN(),4),L!$A:$A,0)-1,SL,,)</f>
        <v xml:space="preserve">Geben Sie in der Reiterzelle D65 der Erklärung an, ob alle Informationen über Tungsten-Schmelzöfen zur Verfügung gestellt worden sind </v>
      </c>
    </row>
    <row r="49" spans="1:12" ht="25.5">
      <c r="A49" s="105" t="str">
        <f ca="1">Declaration!B68</f>
        <v>Frage</v>
      </c>
      <c r="B49" s="108"/>
      <c r="C49" s="108"/>
      <c r="D49" s="112"/>
      <c r="E49" s="87" t="s">
        <v>509</v>
      </c>
      <c r="F49" s="109"/>
      <c r="G49" s="109"/>
      <c r="H49" s="109"/>
    </row>
    <row r="50" spans="1:12" ht="39">
      <c r="A50" s="105" t="str">
        <f ca="1">Declaration!B69</f>
        <v>A. Haben Sie eine Beschaffungsrichtlinie für Konfliktmineralien aufgestellt?</v>
      </c>
      <c r="B50" s="105" t="str">
        <f>Declaration!D69</f>
        <v>No</v>
      </c>
      <c r="C50" s="105" t="str">
        <f t="shared" ca="1" si="3"/>
        <v>Vollständig</v>
      </c>
      <c r="D50" s="111" t="str">
        <f>IF(H50=1,"Click here to answer question (A)","")</f>
        <v/>
      </c>
      <c r="E50" s="87" t="s">
        <v>1437</v>
      </c>
      <c r="F50" s="110">
        <f>IF(SUM(F$25:F$28)=0,0,1)</f>
        <v>0</v>
      </c>
      <c r="G50" s="84">
        <f t="shared" si="5"/>
        <v>0</v>
      </c>
      <c r="H50" s="85">
        <f t="shared" si="6"/>
        <v>0</v>
      </c>
      <c r="I50" s="181" t="str">
        <f ca="1">OFFSET(L!$C$1,MATCH("Checker"&amp;"Comp",L!$A:$A,0)-1,SL,,)</f>
        <v>Vollständig</v>
      </c>
      <c r="J50" s="22" t="str">
        <f ca="1">OFFSET(L!$C$1,MATCH("Checker"&amp;ADDRESS(ROW(),COLUMN(),4),L!$A:$A,0)-1,SL,,)</f>
        <v>Geben Sie in der Reiterzelle D69 der Erklärung an, ob Ihr Unternehmen eine Richtlinie zur DRC-konfliktfreien Beschaffung hat</v>
      </c>
    </row>
    <row r="51" spans="1:12" ht="54.75" customHeight="1">
      <c r="A51" s="105" t="str">
        <f ca="1">Declaration!B71</f>
        <v>B. Ist Ihre Richtlinie zur Beschaffung von Konfliktmineralien öffentlich auf ihrer Website verfügbar? (Hinweis: Wenn "Ja" geben Sie die URL im Feld "Kommentar" an.)</v>
      </c>
      <c r="B51" s="105" t="str">
        <f>Declaration!D71</f>
        <v>No</v>
      </c>
      <c r="C51" s="105" t="str">
        <f t="shared" ca="1" si="3"/>
        <v>Vollständig</v>
      </c>
      <c r="D51" s="111" t="str">
        <f>IF(H51=1,"Click here to answer question (B)","")</f>
        <v/>
      </c>
      <c r="E51" s="87" t="s">
        <v>1437</v>
      </c>
      <c r="F51" s="110">
        <f t="shared" ref="F51:F60" si="7">F$50</f>
        <v>0</v>
      </c>
      <c r="G51" s="84">
        <f t="shared" si="5"/>
        <v>0</v>
      </c>
      <c r="H51" s="85">
        <f t="shared" si="6"/>
        <v>0</v>
      </c>
      <c r="I51" s="181" t="str">
        <f ca="1">OFFSET(L!$C$1,MATCH("Checker"&amp;"Comp",L!$A:$A,0)-1,SL,,)</f>
        <v>Vollständig</v>
      </c>
      <c r="J51" s="22" t="str">
        <f ca="1">OFFSET(L!$C$1,MATCH("Checker"&amp;ADDRESS(ROW(),COLUMN(),4),L!$A:$A,0)-1,SL,,)</f>
        <v>Geben Sie in der Reiterzelle D71 der Erklärung an, ob Ihr Unternehmen Ihre Richtlinie zur DRC-konfliktfreien Beschaffung auf Ihrer Website öffentlich verfügbar gemacht hat</v>
      </c>
    </row>
    <row r="52" spans="1:12" ht="38.450000000000003" customHeight="1">
      <c r="A52" s="105" t="s">
        <v>6</v>
      </c>
      <c r="B52" s="105" t="str">
        <f>Declaration!G71</f>
        <v>RADOLID verarbeitet ausschließlich thermoplastische Kunststoffe. / RADOLID exclusively processes thermoplastics.</v>
      </c>
      <c r="C52" s="105" t="str">
        <f ca="1">IF(H52=1,J52,I52)</f>
        <v>Vollständig</v>
      </c>
      <c r="D52" s="111" t="str">
        <f>IF(H52=1,"Click here to specify URL for question (B)","")</f>
        <v/>
      </c>
      <c r="E52" s="87"/>
      <c r="F52" s="110">
        <f>IF(AND(F51=1,B51="Yes"),1,0)</f>
        <v>0</v>
      </c>
      <c r="G52" s="84">
        <f>IF(LEN(B52)&gt;1,0,1)</f>
        <v>0</v>
      </c>
      <c r="H52" s="85">
        <f t="shared" si="6"/>
        <v>0</v>
      </c>
      <c r="I52" s="181" t="str">
        <f ca="1">OFFSET(L!$C$1,MATCH("Checker"&amp;"Comp",L!$A:$A,0)-1,SL,,)</f>
        <v>Vollständig</v>
      </c>
      <c r="J52" s="174" t="str">
        <f ca="1">OFFSET(L!$C$1,MATCH("Checker"&amp;ADDRESS(ROW(),COLUMN(),4),L!$A:$A,0)-1,SL,,)</f>
        <v xml:space="preserve">Geben Sie in der Arbeitsblattzelle D71 der Erklärung den URL an, falls Sie Frage B mit „Ja“ beantworten. Das Format des URL sollte „www.companyname.com“ entsprechen </v>
      </c>
    </row>
    <row r="53" spans="1:12" ht="39">
      <c r="A53" s="105" t="str">
        <f ca="1">Declaration!B73</f>
        <v>C. Verlangen Sie von Ihren direkten Lieferanten, "DRC-konfliktfrei" zu sein?</v>
      </c>
      <c r="B53" s="105" t="str">
        <f>Declaration!D73</f>
        <v>No</v>
      </c>
      <c r="C53" s="105" t="str">
        <f t="shared" ca="1" si="3"/>
        <v>Vollständig</v>
      </c>
      <c r="D53" s="111" t="str">
        <f>IF(H53=1,"Click here to answer question (C)","")</f>
        <v/>
      </c>
      <c r="E53" s="87" t="s">
        <v>1437</v>
      </c>
      <c r="F53" s="110">
        <f t="shared" si="7"/>
        <v>0</v>
      </c>
      <c r="G53" s="84">
        <f t="shared" si="5"/>
        <v>0</v>
      </c>
      <c r="H53" s="85">
        <f t="shared" si="6"/>
        <v>0</v>
      </c>
      <c r="I53" s="181" t="str">
        <f ca="1">OFFSET(L!$C$1,MATCH("Checker"&amp;"Comp",L!$A:$A,0)-1,SL,,)</f>
        <v>Vollständig</v>
      </c>
      <c r="J53" s="22" t="str">
        <f ca="1">OFFSET(L!$C$1,MATCH("Checker"&amp;ADDRESS(ROW(),COLUMN(),4),L!$A:$A,0)-1,SL,,)</f>
        <v>Geben Sie in der Reiterzelle D73 der Erklärung an, ob Sie Ihre Lieferanten zur DRC-konfliktfreien Beschaffung verpflichtet haben</v>
      </c>
    </row>
    <row r="54" spans="1:12" ht="51">
      <c r="A54" s="105" t="str">
        <f ca="1">Declaration!B75</f>
        <v>D. Verlangen Sie von Ihren direkten Lieferanten, das 3TG-Mineral ausschließlich von Schmelzhütten zu beziehen, deren Due-Diligence-Praktiken von einer unabhängigen Instanz überprüft wurden?</v>
      </c>
      <c r="B54" s="105" t="str">
        <f>Declaration!D75</f>
        <v>No</v>
      </c>
      <c r="C54" s="105" t="str">
        <f ca="1">IF(H54=1,J54,I54)</f>
        <v>Vollständig</v>
      </c>
      <c r="D54" s="111" t="str">
        <f>IF(H54=1,"Click here to answer question (D)","")</f>
        <v/>
      </c>
      <c r="E54" s="87" t="s">
        <v>1437</v>
      </c>
      <c r="F54" s="110">
        <f t="shared" si="7"/>
        <v>0</v>
      </c>
      <c r="G54" s="84">
        <f t="shared" si="5"/>
        <v>0</v>
      </c>
      <c r="H54" s="85">
        <f t="shared" si="6"/>
        <v>0</v>
      </c>
      <c r="I54" s="181" t="str">
        <f ca="1">OFFSET(L!$C$1,MATCH("Checker"&amp;"Comp",L!$A:$A,0)-1,SL,,)</f>
        <v>Vollständig</v>
      </c>
      <c r="J54" s="22" t="str">
        <f ca="1">OFFSET(L!$C$1,MATCH("Checker"&amp;ADDRESS(ROW(),COLUMN(),4),L!$A:$A,0)-1,SL,,)</f>
        <v>Geben Sie in der Reiterzelle D75 der Erklärung an, ob Sie Ihre Lieferanten zur Beschaffung aus Schmelzöfen verpflichtet haben, die als DRC-konfliktfrei in der Liste der konformen Schmelzöfen des Responsible Minerals Assurance Process bestätigt worden sind</v>
      </c>
    </row>
    <row r="55" spans="1:12" ht="39">
      <c r="A55" s="105" t="str">
        <f ca="1">Declaration!B77</f>
        <v>E. Haben Sie angemesse Prüfmaßnahmen für konfliktfreie Beschaffung eingeführt?</v>
      </c>
      <c r="B55" s="105" t="str">
        <f>Declaration!D77</f>
        <v>No</v>
      </c>
      <c r="C55" s="105" t="str">
        <f t="shared" ca="1" si="3"/>
        <v>Vollständig</v>
      </c>
      <c r="D55" s="111" t="str">
        <f>IF(H55=1,"Click here to answer question (E)","")</f>
        <v/>
      </c>
      <c r="E55" s="87" t="s">
        <v>1437</v>
      </c>
      <c r="F55" s="110">
        <f t="shared" si="7"/>
        <v>0</v>
      </c>
      <c r="G55" s="84">
        <f t="shared" si="5"/>
        <v>0</v>
      </c>
      <c r="H55" s="85">
        <f t="shared" si="6"/>
        <v>0</v>
      </c>
      <c r="I55" s="181" t="str">
        <f ca="1">OFFSET(L!$C$1,MATCH("Checker"&amp;"Comp",L!$A:$A,0)-1,SL,,)</f>
        <v>Vollständig</v>
      </c>
      <c r="J55" s="22" t="str">
        <f ca="1">OFFSET(L!$C$1,MATCH("Checker"&amp;ADDRESS(ROW(),COLUMN(),4),L!$A:$A,0)-1,SL,,)</f>
        <v>Geben Sie in der Reiterzelle D77 der Erklärung an, ob Sie Due-Diligence-Maßnahmen zur Beschaffung konfliktfreier Mineralien getroffen haben</v>
      </c>
    </row>
    <row r="56" spans="1:12" ht="39">
      <c r="A56" s="105" t="str">
        <f ca="1">Declaration!B79</f>
        <v>F. Veranstaltet Ihr Unternehmen (eine) Konfliktmineralienumfrage(n) mit seinen entsprechenden Lieferanten?</v>
      </c>
      <c r="B56" s="105" t="str">
        <f>Declaration!D79</f>
        <v>No</v>
      </c>
      <c r="C56" s="105" t="str">
        <f t="shared" ca="1" si="3"/>
        <v>Vollständig</v>
      </c>
      <c r="D56" s="111" t="str">
        <f>IF(H56=1,"Click here to answer question (F)","")</f>
        <v/>
      </c>
      <c r="E56" s="87" t="s">
        <v>1437</v>
      </c>
      <c r="F56" s="110">
        <f t="shared" si="7"/>
        <v>0</v>
      </c>
      <c r="G56" s="84">
        <f t="shared" si="5"/>
        <v>0</v>
      </c>
      <c r="H56" s="85">
        <f t="shared" si="6"/>
        <v>0</v>
      </c>
      <c r="I56" s="181" t="str">
        <f ca="1">OFFSET(L!$C$1,MATCH("Checker"&amp;"Comp",L!$A:$A,0)-1,SL,,)</f>
        <v>Vollständig</v>
      </c>
      <c r="J56" s="22" t="str">
        <f ca="1">OFFSET(L!$C$1,MATCH("Checker"&amp;ADDRESS(ROW(),COLUMN(),4),L!$A:$A,0)-1,SL,,)</f>
        <v>Geben Sie in der Reiterzelle D79 der Erklärung an, ob Sie von Ihren Lieferanten verlangen, diese Vorlage zur Berichterstattung über Konfliktmineralien auszufüllen</v>
      </c>
    </row>
    <row r="57" spans="1:12" ht="15" hidden="1">
      <c r="A57" s="105"/>
      <c r="B57" s="105"/>
      <c r="C57" s="105"/>
      <c r="D57" s="111"/>
      <c r="E57" s="87"/>
      <c r="F57" s="110"/>
      <c r="G57" s="84"/>
      <c r="H57" s="85"/>
      <c r="I57" s="181"/>
    </row>
    <row r="58" spans="1:12" ht="39">
      <c r="A58" s="105" t="str">
        <f ca="1">Declaration!B81</f>
        <v>G. Überprüfen Sie die Due-Diligence-Informationen, die Sie von ihren Lieferanten erhalten, anhand der Erwartungen Ihres Unternehmens?</v>
      </c>
      <c r="B58" s="105" t="str">
        <f>Declaration!D81</f>
        <v>No</v>
      </c>
      <c r="C58" s="105" t="str">
        <f t="shared" ca="1" si="3"/>
        <v>Vollständig</v>
      </c>
      <c r="D58" s="111" t="str">
        <f>IF(H58=1,"Click here to answer question (G)","")</f>
        <v/>
      </c>
      <c r="E58" s="87" t="s">
        <v>1437</v>
      </c>
      <c r="F58" s="110">
        <f t="shared" si="7"/>
        <v>0</v>
      </c>
      <c r="G58" s="84">
        <f t="shared" si="5"/>
        <v>0</v>
      </c>
      <c r="H58" s="85">
        <f t="shared" si="6"/>
        <v>0</v>
      </c>
      <c r="I58" s="181" t="str">
        <f ca="1">OFFSET(L!$C$1,MATCH("Checker"&amp;"Comp",L!$A:$A,0)-1,SL,,)</f>
        <v>Vollständig</v>
      </c>
      <c r="J58" s="22" t="str">
        <f ca="1">OFFSET(L!$C$1,MATCH("Checker"&amp;ADDRESS(ROW(),COLUMN(),4),L!$A:$A,0)-1,SL,,)</f>
        <v>Geben Sie in der Reiterzelle D83 der Erklärung an, ob Sie Antworten der Lieferanten auf die Anforderungen Ihres Unternehmens überprüfen</v>
      </c>
    </row>
    <row r="59" spans="1:12" ht="39">
      <c r="A59" s="105" t="str">
        <f ca="1">Declaration!B83</f>
        <v>H. Sieht Ihr Review-Prozess ein Korrekturmaßnahmen-Management vor?</v>
      </c>
      <c r="B59" s="105" t="str">
        <f>Declaration!D83</f>
        <v>No</v>
      </c>
      <c r="C59" s="105" t="str">
        <f t="shared" ca="1" si="3"/>
        <v>Vollständig</v>
      </c>
      <c r="D59" s="111" t="str">
        <f>IF(H59=1,"Click here to answer question (H)","")</f>
        <v/>
      </c>
      <c r="E59" s="87" t="s">
        <v>1437</v>
      </c>
      <c r="F59" s="110">
        <f t="shared" si="7"/>
        <v>0</v>
      </c>
      <c r="G59" s="84">
        <f t="shared" si="5"/>
        <v>0</v>
      </c>
      <c r="H59" s="85">
        <f t="shared" si="6"/>
        <v>0</v>
      </c>
      <c r="I59" s="181" t="str">
        <f ca="1">OFFSET(L!$C$1,MATCH("Checker"&amp;"Comp",L!$A:$A,0)-1,SL,,)</f>
        <v>Vollständig</v>
      </c>
      <c r="J59" s="22" t="str">
        <f ca="1">OFFSET(L!$C$1,MATCH("Checker"&amp;ADDRESS(ROW(),COLUMN(),4),L!$A:$A,0)-1,SL,,)</f>
        <v>Geben Sie in der Reiterzelle D85 der Erklärung an, ob Ihr Prüfungsverfahren ein Abhilfemaßnahmen-Management umfasst</v>
      </c>
    </row>
    <row r="60" spans="1:12" ht="39">
      <c r="A60" s="105" t="str">
        <f ca="1">Declaration!B85</f>
        <v>I. Ist Ihr Unternehmen zu einer jährlichen Offenlegung der Konfliktmineralien gegenüber der SEC verpflichtet?</v>
      </c>
      <c r="B60" s="105" t="str">
        <f>Declaration!D85</f>
        <v>No</v>
      </c>
      <c r="C60" s="105" t="str">
        <f t="shared" ca="1" si="3"/>
        <v>Vollständig</v>
      </c>
      <c r="D60" s="111" t="str">
        <f>IF(H60=1,"Click here to answer question (I)","")</f>
        <v/>
      </c>
      <c r="E60" s="87" t="s">
        <v>1437</v>
      </c>
      <c r="F60" s="110">
        <f t="shared" si="7"/>
        <v>0</v>
      </c>
      <c r="G60" s="84">
        <f t="shared" si="5"/>
        <v>0</v>
      </c>
      <c r="H60" s="85">
        <f t="shared" si="6"/>
        <v>0</v>
      </c>
      <c r="I60" s="181" t="str">
        <f ca="1">OFFSET(L!$C$1,MATCH("Checker"&amp;"Comp",L!$A:$A,0)-1,SL,,)</f>
        <v>Vollständig</v>
      </c>
      <c r="J60" s="22" t="str">
        <f ca="1">OFFSET(L!$C$1,MATCH("Checker"&amp;ADDRESS(ROW(),COLUMN(),4),L!$A:$A,0)-1,SL,,)</f>
        <v>Geben Sie in der Reiterzelle D87 der Erklärung an, ob Sie der Offenlegungspflicht gegenüber der SEC unterliegen</v>
      </c>
    </row>
    <row r="61" spans="1:12" ht="39">
      <c r="A61" s="106" t="s">
        <v>1385</v>
      </c>
      <c r="B61" s="105" t="str">
        <f>IF(G61=1,"No products or item numbers listed","One or more product / item numbers have been provided")</f>
        <v>No products or item numbers listed</v>
      </c>
      <c r="C61" s="105" t="str">
        <f t="shared" ca="1" si="3"/>
        <v>Vollständig</v>
      </c>
      <c r="D61" s="111" t="str">
        <f>IF(H61=1,"Click here to enter detail on Product List tab","")</f>
        <v/>
      </c>
      <c r="E61" s="87" t="s">
        <v>1437</v>
      </c>
      <c r="F61" s="110">
        <f>IF(B5=Declaration!Q9,1,0)</f>
        <v>0</v>
      </c>
      <c r="G61" s="84">
        <f>IF('Product List'!B6="",1,0)</f>
        <v>1</v>
      </c>
      <c r="H61" s="85">
        <f t="shared" si="6"/>
        <v>0</v>
      </c>
      <c r="I61" s="181" t="str">
        <f ca="1">OFFSET(L!$C$1,MATCH("Checker"&amp;"Comp",L!$A:$A,0)-1,SL,,)</f>
        <v>Vollständig</v>
      </c>
      <c r="J61" s="22" t="str">
        <f ca="1">OFFSET(L!$C$1,MATCH("Checker"&amp;ADDRESS(ROW(),COLUMN(),4),L!$A:$A,0)-1,SL,,)</f>
        <v>Nennen Sie ggf. ein oder mehr Produkte oder Gegenstandsnummern, auf die diese Erklärung anwendbar ist. Wählen Sie im Erklärungsreiter Hyperlink in Zelle 6H1, um den Reiter „Produktliste“ einzugeben</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Vollständig</v>
      </c>
      <c r="J62" s="22" t="str">
        <f ca="1">OFFSET(L!$C$1,MATCH("Checker"&amp;ADDRESS(ROW(),COLUMN(),4),L!$A:$A,0)-1,SL,,)</f>
        <v xml:space="preserve">Geben Sie im Reiter „Schmelzöfenliste“ eine Liste von Tantalum-Schmelzöfen ein, die Material für die Lieferkette beitragen  </v>
      </c>
      <c r="K62" s="188">
        <f>IF(H15+H20&gt;0,1,0)</f>
        <v>0</v>
      </c>
      <c r="L62" s="22" t="str">
        <f ca="1">OFFSET(L!$C$1,MATCH("Checker"&amp;ADDRESS(ROW(),COLUMN(),4),L!$A:$A,0)-1,SL,,)</f>
        <v>Bitte beantworten Sie die Fragen 1 und 2 auf Erklärung Registerkarte</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Vollständig</v>
      </c>
      <c r="J63" s="22" t="str">
        <f ca="1">OFFSET(L!$C$1,MATCH("Checker"&amp;ADDRESS(ROW(),COLUMN(),4),L!$A:$A,0)-1,SL,,)</f>
        <v xml:space="preserve">Geben Sie im Reiter „Schmelzöfenliste“ eine Liste von Zinn-Schmelzöfen ein, die Material für die Lieferkette beitragen  </v>
      </c>
      <c r="K63" s="188">
        <f>IF(H16+H21&gt;0,1,0)</f>
        <v>0</v>
      </c>
      <c r="L63" s="22" t="str">
        <f ca="1">OFFSET(L!$C$1,MATCH("Checker"&amp;ADDRESS(ROW(),COLUMN(),4),L!$A:$A,0)-1,SL,,)</f>
        <v>Bitte beantworten Sie die Fragen 1 und 2 auf Erklärung Registerkarte</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Vollständig</v>
      </c>
      <c r="J64" s="22" t="str">
        <f ca="1">OFFSET(L!$C$1,MATCH("Checker"&amp;ADDRESS(ROW(),COLUMN(),4),L!$A:$A,0)-1,SL,,)</f>
        <v xml:space="preserve">Geben Sie im Reiter „Schmelzöfenliste“ eine Liste von Gold-Schmelzöfen ein, die Material für die Lieferkette beitragen  </v>
      </c>
      <c r="K64" s="188">
        <f>IF(H17+H22&gt;0,1,0)</f>
        <v>0</v>
      </c>
      <c r="L64" s="22" t="str">
        <f ca="1">OFFSET(L!$C$1,MATCH("Checker"&amp;ADDRESS(ROW(),COLUMN(),4),L!$A:$A,0)-1,SL,,)</f>
        <v>Bitte beantworten Sie die Fragen 1 und 2 auf Erklärung Registerkarte</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Vollständig</v>
      </c>
      <c r="J65" s="22" t="str">
        <f ca="1">OFFSET(L!$C$1,MATCH("Checker"&amp;ADDRESS(ROW(),COLUMN(),4),L!$A:$A,0)-1,SL,,)</f>
        <v xml:space="preserve">Geben Sie im Reiter „Schmelzöfenliste“ eine Liste von Tungsten-Schmelzöfen ein, die Material für die Lieferkette beitragen  </v>
      </c>
      <c r="K65" s="188">
        <f>IF(H18+H23&gt;0,1,0)</f>
        <v>0</v>
      </c>
      <c r="L65" s="22" t="str">
        <f ca="1">OFFSET(L!$C$1,MATCH("Checker"&amp;ADDRESS(ROW(),COLUMN(),4),L!$A:$A,0)-1,SL,,)</f>
        <v>Bitte beantworten Sie die Fragen 1 und 2 auf Erklärung Registerkarte</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Vollständig</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38" t="str">
        <f ca="1">OFFSET(L!$C$1,MATCH("Product List"&amp;ADDRESS(ROW(),COLUMN(),4),L!$A:$A,0)-1,SL,,)</f>
        <v>Abschluss nur erforderlich, wenn die Ebene "Produkt (oder eine Liste von Produkten)" auf der "Erklärung" Arbeitsblatt ausgewählt wurde-</v>
      </c>
      <c r="B1" s="439"/>
      <c r="C1" s="439"/>
      <c r="D1" s="439"/>
      <c r="E1" s="149"/>
    </row>
    <row r="2" spans="1:6">
      <c r="A2" s="29"/>
      <c r="B2" s="151"/>
      <c r="C2" s="151"/>
      <c r="D2"/>
      <c r="E2" s="30"/>
    </row>
    <row r="3" spans="1:6">
      <c r="A3" s="29"/>
      <c r="B3" s="151"/>
      <c r="C3" s="151"/>
      <c r="D3" s="151"/>
      <c r="E3" s="30"/>
    </row>
    <row r="4" spans="1:6" ht="15.75" customHeight="1">
      <c r="A4" s="29"/>
      <c r="B4" s="437" t="s">
        <v>1014</v>
      </c>
      <c r="C4" s="437"/>
      <c r="D4" s="437"/>
      <c r="E4" s="30"/>
    </row>
    <row r="5" spans="1:6" ht="15.75">
      <c r="A5" s="164"/>
      <c r="B5" s="166" t="str">
        <f ca="1">OFFSET(L!$C$1,MATCH("Product List"&amp;ADDRESS(ROW(),COLUMN(),4),L!$A:$A,0)-1,SL,,)</f>
        <v>Produkt- oder Artikelnummer (*)</v>
      </c>
      <c r="C5" s="166" t="str">
        <f ca="1">OFFSET(L!$C$1,MATCH("Product List"&amp;ADDRESS(ROW(),COLUMN(),4),L!$A:$A,0)-1,SL,,)</f>
        <v>Produkt- oder Artikelbeschreibung</v>
      </c>
      <c r="D5" s="88" t="str">
        <f ca="1">OFFSET(L!$C$1,MATCH("Product List"&amp;ADDRESS(ROW(),COLUMN(),4),L!$A:$A,0)-1,SL,,)</f>
        <v>Kommentare</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0" t="str">
        <f ca="1">OFFSET(L!$C$1,MATCH("General"&amp;"Cpy",L!$A:$A,0)-1,SL,,)</f>
        <v>© 2019 Responsible Minerals Initiative. All rights reserved.</v>
      </c>
      <c r="C1001" s="440"/>
      <c r="D1001" s="440"/>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baseColWidth="10"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1"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41"/>
      <c r="C1" s="441"/>
      <c r="D1" s="441"/>
      <c r="E1" s="441"/>
      <c r="F1" s="441"/>
      <c r="G1" s="441"/>
    </row>
    <row r="2" spans="1:16">
      <c r="A2" s="442"/>
      <c r="B2" s="442"/>
      <c r="C2" s="442"/>
      <c r="D2" s="442"/>
      <c r="E2" s="442"/>
      <c r="F2" s="442"/>
      <c r="G2" s="442"/>
      <c r="H2" s="442"/>
      <c r="I2" s="442"/>
    </row>
    <row r="3" spans="1:16">
      <c r="A3" s="442"/>
      <c r="B3" s="442"/>
      <c r="C3" s="442"/>
      <c r="D3" s="442"/>
      <c r="E3" s="442"/>
      <c r="F3" s="442"/>
      <c r="G3" s="442"/>
      <c r="H3" s="442"/>
      <c r="I3" s="442"/>
    </row>
    <row r="4" spans="1:16" s="228" customFormat="1" ht="51">
      <c r="A4" s="227" t="str">
        <f ca="1">OFFSET(L!$C$1,MATCH("Smelter Look-up"&amp;ADDRESS(ROW(),COLUMN(),4),L!$A:$A,0)-1,SL,,)</f>
        <v>Metall</v>
      </c>
      <c r="B4" s="227" t="str">
        <f ca="1">OFFSET(L!$C$1,MATCH("Smelter Look-up"&amp;ADDRESS(ROW(),COLUMN(),4),L!$A:$A,0)-1,SL,,)</f>
        <v>Schmelzofensuche (*)</v>
      </c>
      <c r="C4" s="227" t="str">
        <f ca="1">OFFSET(L!$C$1,MATCH("Smelter Look-up"&amp;ADDRESS(ROW(),COLUMN(),4),L!$A:$A,0)-1,SL,,)</f>
        <v>Standard Schmelzhütten Namen</v>
      </c>
      <c r="D4" s="227" t="str">
        <f ca="1">OFFSET(L!$C$1,MATCH("Smelter Look-up"&amp;ADDRESS(ROW(),COLUMN(),4),L!$A:$A,0)-1,SL,,)</f>
        <v>Schmelzhütte: Land</v>
      </c>
      <c r="E4" s="227" t="str">
        <f ca="1">OFFSET(L!$C$1,MATCH("Smelter Look-up"&amp;ADDRESS(ROW(),COLUMN(),4),L!$A:$A,0)-1,SL,,)</f>
        <v>Schmelzofen-ID</v>
      </c>
      <c r="F4" s="227" t="str">
        <f ca="1">OFFSET(L!$C$1,MATCH("Smelter Look-up"&amp;ADDRESS(ROW(),COLUMN(),4),L!$A:$A,0)-1,SL,,)</f>
        <v>Quelle der Schmelzhütte Id-Nummer</v>
      </c>
      <c r="G4" s="227" t="str">
        <f ca="1">OFFSET(L!$C$1,MATCH("Smelter Look-up"&amp;ADDRESS(ROW(),COLUMN(),4),L!$A:$A,0)-1,SL,,)</f>
        <v>Schmelzhütten: Straße</v>
      </c>
      <c r="H4" s="227" t="str">
        <f ca="1">OFFSET(L!$C$1,MATCH("Smelter Look-up"&amp;ADDRESS(ROW(),COLUMN(),4),L!$A:$A,0)-1,SL,,)</f>
        <v>Schmelzhütten: Stadt</v>
      </c>
      <c r="I4" s="227" t="str">
        <f ca="1">OFFSET(L!$C$1,MATCH("Smelter Look-up"&amp;ADDRESS(ROW(),COLUMN(),4),L!$A:$A,0)-1,SL,,)</f>
        <v>Schmelzhütten: Bundesland/Provinz</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baseColWidth="10"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6.7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84.75">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6.7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8.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28.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56.2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0.7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7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Fabian Henkes</cp:lastModifiedBy>
  <cp:lastPrinted>2015-04-21T20:47:43Z</cp:lastPrinted>
  <dcterms:created xsi:type="dcterms:W3CDTF">2010-06-21T21:00:23Z</dcterms:created>
  <dcterms:modified xsi:type="dcterms:W3CDTF">2020-02-19T08:09:19Z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